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activeX/activeX5.xml" ContentType="application/vnd.ms-office.activeX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activeX/activeX3.xml" ContentType="application/vnd.ms-office.activeX+xml"/>
  <Override PartName="/xl/worksheets/sheet3.xml" ContentType="application/vnd.openxmlformats-officedocument.spreadsheetml.worksheet+xml"/>
  <Override PartName="/xl/activeX/activeX1.xml" ContentType="application/vnd.ms-office.activeX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emf" ContentType="image/x-emf"/>
  <Override PartName="/xl/drawings/drawing5.xml" ContentType="application/vnd.openxmlformats-officedocument.drawing+xml"/>
  <Override PartName="/xl/activeX/activeX6.xml" ContentType="application/vnd.ms-office.activeX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activeX/activeX2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ЭтаКнига" defaultThemeVersion="124226"/>
  <bookViews>
    <workbookView xWindow="-15" yWindow="-15" windowWidth="14415" windowHeight="7770" tabRatio="885" activeTab="8"/>
  </bookViews>
  <sheets>
    <sheet name="Инструкция" sheetId="211" r:id="rId1"/>
    <sheet name="modInstruction" sheetId="207" state="veryHidden" r:id="rId2"/>
    <sheet name="Лог обновления" sheetId="208" state="veryHidden" r:id="rId3"/>
    <sheet name="Контакты" sheetId="135" state="veryHidden" r:id="rId4"/>
    <sheet name="tech" sheetId="129" state="veryHidden" r:id="rId5"/>
    <sheet name="TECHSHEET" sheetId="114" state="veryHidden" r:id="rId6"/>
    <sheet name="Т итого" sheetId="177" state="veryHidden" r:id="rId7"/>
    <sheet name="ВД" sheetId="202" state="veryHidden" r:id="rId8"/>
    <sheet name="Т" sheetId="165" r:id="rId9"/>
    <sheet name="Свод" sheetId="118" state="veryHidden" r:id="rId10"/>
    <sheet name="Результаты загрузки" sheetId="124" state="veryHidden" r:id="rId11"/>
    <sheet name="Комментарии" sheetId="154" state="veryHidden" r:id="rId12"/>
    <sheet name="Проверка" sheetId="153" r:id="rId13"/>
    <sheet name="modGetGeoBase" sheetId="209" state="veryHidden" r:id="rId14"/>
    <sheet name="modFUEL" sheetId="201" state="veryHidden" r:id="rId15"/>
    <sheet name="modLOST_INCOME" sheetId="203" state="veryHidden" r:id="rId16"/>
    <sheet name="PLAN_201X" sheetId="131" state="veryHidden" r:id="rId17"/>
    <sheet name="COMS_DATA_REGION" sheetId="210" state="veryHidden" r:id="rId18"/>
    <sheet name="PLAN1X_LIST_ORG_TOTAL" sheetId="176" state="veryHidden" r:id="rId19"/>
    <sheet name="PLAN1X_LIST_ORG_COSTS" sheetId="204" state="veryHidden" r:id="rId20"/>
    <sheet name="ORG_DATA_REGION" sheetId="158" state="veryHidden" r:id="rId21"/>
    <sheet name="REESTR_ORG" sheetId="127" state="veryHidden" r:id="rId22"/>
    <sheet name="FUEL_DATA_REGION" sheetId="133" state="veryHidden" r:id="rId23"/>
    <sheet name="REESTR_MO" sheetId="128" state="veryHidden" r:id="rId24"/>
    <sheet name="modInfo" sheetId="174" state="veryHidden" r:id="rId25"/>
    <sheet name="modVLDProv" sheetId="179" state="veryHidden" r:id="rId26"/>
    <sheet name="modVLDCommonProv" sheetId="189" state="veryHidden" r:id="rId27"/>
    <sheet name="modVLDProvGeneralProc" sheetId="180" state="veryHidden" r:id="rId28"/>
    <sheet name="modLoad_Svod" sheetId="190" state="veryHidden" r:id="rId29"/>
    <sheet name="Файлы" sheetId="123" state="veryHidden" r:id="rId30"/>
    <sheet name="modOpen" sheetId="147" state="veryHidden" r:id="rId31"/>
    <sheet name="modfrmRegion" sheetId="136" state="veryHidden" r:id="rId32"/>
    <sheet name="modfrmReestr" sheetId="137" state="veryHidden" r:id="rId33"/>
    <sheet name="modReestr" sheetId="138" state="veryHidden" r:id="rId34"/>
    <sheet name="modDataRegion" sheetId="139" state="veryHidden" r:id="rId35"/>
    <sheet name="modCommandButton" sheetId="142" state="veryHidden" r:id="rId36"/>
    <sheet name="modData_TOPL_QX" sheetId="143" state="veryHidden" r:id="rId37"/>
    <sheet name="AUTHORISATION" sheetId="170" state="veryHidden" r:id="rId38"/>
    <sheet name="modUpdTemplMain" sheetId="181" state="veryHidden" r:id="rId39"/>
    <sheet name="modfrmCheckUpdates" sheetId="182" state="veryHidden" r:id="rId40"/>
    <sheet name="modCommonProcedures" sheetId="173" state="veryHidden" r:id="rId41"/>
    <sheet name="modUpdateToActualVersion" sheetId="191" state="veryHidden" r:id="rId42"/>
    <sheet name="modfrmHEATAdditionalOrgData" sheetId="196" state="veryHidden" r:id="rId43"/>
  </sheets>
  <definedNames>
    <definedName name="_xlnm._FilterDatabase" localSheetId="12" hidden="1">Проверка!$E$11:$H$11</definedName>
    <definedName name="ADD_FUEL_HL_COLUMN_MARKER">Т!$AB$44</definedName>
    <definedName name="ADD_ORG_AUTO">tech!$132:$151</definedName>
    <definedName name="ADD_ORG_FROM_PLAN1X">tech!$132:$151</definedName>
    <definedName name="ADD_ORG_FROM_REESTR">tech!$132:$151</definedName>
    <definedName name="ADD_ORG_HL_MARKER">Т!$J$66</definedName>
    <definedName name="ADD_ORG_LOST_INCOME">tech!$160:$179</definedName>
    <definedName name="ALL_FILES">Файлы!$B$1</definedName>
    <definedName name="anscount" hidden="1">1</definedName>
    <definedName name="chkGetUpdatesValue">Инструкция!$AA$95</definedName>
    <definedName name="chkNoUpdatesValue">Инструкция!$AA$97</definedName>
    <definedName name="code">Инструкция!$B$2</definedName>
    <definedName name="CURRENT_PRD">Контакты!$J$11</definedName>
    <definedName name="DELETE_FUEL_HL_COLUMN_MARKER">Т!$Z$44</definedName>
    <definedName name="DELETE_ORG_HL_COLUMN_MARKER">Т!$H$44</definedName>
    <definedName name="DIFF">TECHSHEET!$K$6:$K$8</definedName>
    <definedName name="DIFF_COLUMN_MARKER">Т!$P$44</definedName>
    <definedName name="DPR_COLUMN_MARKER">Т!$R$44</definedName>
    <definedName name="EXCLUDE_ORG_REASON_HL_COLUMN_MARKER">Т!$G$44</definedName>
    <definedName name="FIL_COLUMN_MARKER">Т!$Q$44</definedName>
    <definedName name="FirstLine">Инструкция!$A$6</definedName>
    <definedName name="FOLDER_NAME">Свод!$C$8</definedName>
    <definedName name="FUEL_CALC_AREA">Т!$AE$45:$FJ$66</definedName>
    <definedName name="FUEL_SHOW_ALL_FUELS">Т!$Z$37</definedName>
    <definedName name="FUEL_WORKING_AREA">Т!$G$44:$FR$66</definedName>
    <definedName name="GEO_BASE_REGION">TECHSHEET!$C$87</definedName>
    <definedName name="god">Контакты!$J$10</definedName>
    <definedName name="INN_COLUMN_MARKER">Т!$M$44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Инструкция!$70:$75</definedName>
    <definedName name="Instr_7">Инструкция!$76:$92</definedName>
    <definedName name="Instr_8">Инструкция!$93:$107</definedName>
    <definedName name="IpGeoBaseRegions">TECHSHEET!$C$1:$C$86</definedName>
    <definedName name="KPP_COLUMN_MARKER">Т!$N$44</definedName>
    <definedName name="KU11_AUTHORISATION_RANGE">AUTHORISATION!$A$2</definedName>
    <definedName name="LastUpdateDate_MO">Т!$O$15</definedName>
    <definedName name="LastUpdateDate_PLAN_PREV">Т!$O$17</definedName>
    <definedName name="LastUpdateDate_PLAN201X">Т!$O$19</definedName>
    <definedName name="LastUpdateDate_ReestrOrg">Т!$O$16</definedName>
    <definedName name="LastUpdateDate_W1X_TOPL">Т!$O$18</definedName>
    <definedName name="LI_ADD_FUEL_HL_COLUMN_MARKER">ВД!$AB$44</definedName>
    <definedName name="LI_ADD_ORG_HL_MARKER">ВД!$J$46</definedName>
    <definedName name="LI_DELETE_FUEL_HL_COLUMN_MARKER">ВД!$Z$44</definedName>
    <definedName name="LI_DELETE_ORG_HL_COLUMN_MARKER">ВД!$H$44</definedName>
    <definedName name="LI_EXCLUDE_ORG_REASON_HL_COLUMN_MARKER">ВД!$G$44</definedName>
    <definedName name="LI_FIL_COLUMN_MARKER">ВД!$Q$44</definedName>
    <definedName name="LI_FUEL_SHOW_ALL_FUELS">ВД!$Z$39</definedName>
    <definedName name="LI_INN_COLUMN_MARKER">ВД!$M$44</definedName>
    <definedName name="LI_KPP_COLUMN_MARKER">ВД!$N$44</definedName>
    <definedName name="LI_NUM_FUEL_HL_COLUMN_MARKER">ВД!$AA$44</definedName>
    <definedName name="LI_NUM_ORG_HL_COLUMN_MARKER">ВД!$I$44</definedName>
    <definedName name="LI_ORG_COLUMN_MARKER">ВД!$O$44</definedName>
    <definedName name="LI_PLAN1X_NUM_COLUMN_MARKER">ВД!$Y$44</definedName>
    <definedName name="LI_TECH_NUM_COLUMN_MARKER">ВД!$BF$44</definedName>
    <definedName name="LI_TECH_STATUS_COLUMN_MARKER">ВД!$BE$44</definedName>
    <definedName name="LI_TECH_USAGE_COLUMN_MARKER">ВД!$BK$44</definedName>
    <definedName name="LI_VDET_COLUMN_MARKER">ВД!$S$44</definedName>
    <definedName name="LIST_MR_MO_OKTMO">REESTR_MO!$A$2:$C$331</definedName>
    <definedName name="LIST_ORG_WARM">REESTR_ORG!$BI$2:$BS$209</definedName>
    <definedName name="LOAD_CONTACTS">Контакты!$G$13:$G$15,Контакты!$G$18:$G$21,Контакты!$G$24:$G$25</definedName>
    <definedName name="LOGIN">TECHSHEET!$J$1</definedName>
    <definedName name="MO_BINDING">tech!$J$19:$L$38</definedName>
    <definedName name="MO_COLUMN_MARKER">Т!$K$44</definedName>
    <definedName name="MO_LIST_10">REESTR_MO!$B$90</definedName>
    <definedName name="MO_LIST_11">REESTR_MO!$B$91</definedName>
    <definedName name="MO_LIST_12">REESTR_MO!$B$92</definedName>
    <definedName name="MO_LIST_13">REESTR_MO!$B$93</definedName>
    <definedName name="MO_LIST_14">REESTR_MO!$B$94</definedName>
    <definedName name="MO_LIST_15">REESTR_MO!$B$95</definedName>
    <definedName name="MO_LIST_16">REESTR_MO!$B$96</definedName>
    <definedName name="MO_LIST_17">REESTR_MO!$B$97:$B$105</definedName>
    <definedName name="MO_LIST_18">REESTR_MO!$B$106:$B$121</definedName>
    <definedName name="MO_LIST_19">REESTR_MO!$B$122:$B$138</definedName>
    <definedName name="MO_LIST_2">REESTR_MO!$B$2:$B$10</definedName>
    <definedName name="MO_LIST_20">REESTR_MO!$B$139:$B$149</definedName>
    <definedName name="MO_LIST_21">REESTR_MO!$B$150:$B$165</definedName>
    <definedName name="MO_LIST_22">REESTR_MO!$B$166:$B$177</definedName>
    <definedName name="MO_LIST_23">REESTR_MO!$B$178:$B$190</definedName>
    <definedName name="MO_LIST_24">REESTR_MO!$B$191:$B$202</definedName>
    <definedName name="MO_LIST_25">REESTR_MO!$B$203:$B$218</definedName>
    <definedName name="MO_LIST_26">REESTR_MO!$B$219:$B$231</definedName>
    <definedName name="MO_LIST_27">REESTR_MO!$B$232:$B$244</definedName>
    <definedName name="MO_LIST_28">REESTR_MO!$B$245:$B$253</definedName>
    <definedName name="MO_LIST_29">REESTR_MO!$B$254:$B$267</definedName>
    <definedName name="MO_LIST_3">REESTR_MO!$B$11:$B$22</definedName>
    <definedName name="MO_LIST_30">REESTR_MO!$B$268:$B$283</definedName>
    <definedName name="MO_LIST_31">REESTR_MO!$B$284:$B$291</definedName>
    <definedName name="MO_LIST_32">REESTR_MO!$B$292:$B$299</definedName>
    <definedName name="MO_LIST_33">REESTR_MO!$B$300:$B$306</definedName>
    <definedName name="MO_LIST_34">REESTR_MO!$B$307:$B$318</definedName>
    <definedName name="MO_LIST_35">REESTR_MO!$B$319:$B$331</definedName>
    <definedName name="MO_LIST_4">REESTR_MO!$B$23:$B$34</definedName>
    <definedName name="MO_LIST_5">REESTR_MO!$B$35:$B$43</definedName>
    <definedName name="MO_LIST_6">REESTR_MO!$B$44:$B$58</definedName>
    <definedName name="MO_LIST_7">REESTR_MO!$B$59:$B$73</definedName>
    <definedName name="MO_LIST_8">REESTR_MO!$B$74:$B$88</definedName>
    <definedName name="MO_LIST_9">REESTR_MO!$B$89</definedName>
    <definedName name="MR_COLUMN_MARKER">Т!$J$44</definedName>
    <definedName name="MR_LIST">REESTR_MO!$D$2:$D$35</definedName>
    <definedName name="NDS_COLUMN_MARKER">Т!$T$44</definedName>
    <definedName name="NO_MO_BINDING">tech!$P$19:$R$38</definedName>
    <definedName name="NTKU11_AUTHORISATION_RANGE">AUTHORISATION!$A$2</definedName>
    <definedName name="NTKU1X_AUTHORISATION_RANGE">AUTHORISATION!$A$2</definedName>
    <definedName name="NUM_FUEL_HL_COLUMN_MARKER">Т!$AA$44</definedName>
    <definedName name="NUM_ORG_HL_COLUMN_MARKER">Т!$I$44</definedName>
    <definedName name="OKTMO_COLUMN_MARKER">Т!$L$44</definedName>
    <definedName name="ORDER_BY">TECHSHEET!$K$17</definedName>
    <definedName name="ORG_COLUMN_MARKER">Т!$O$44</definedName>
    <definedName name="ORG_POWER">TECHSHEET!$K$12:$K$13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ASSWORD">TECHSHEET!$J$2</definedName>
    <definedName name="PLAN1X_AUTHORISATION_RANGE">AUTHORISATION!$A$2</definedName>
    <definedName name="PLAN1X_LIST_ORG_TOTAL_RANGE">PLAN1X_LIST_ORG_TOTAL!$A$2:$N$70</definedName>
    <definedName name="PLAN1X_NUM_COLUMN_MARKER">Т!$Y$44</definedName>
    <definedName name="PR_FIL_COLUMN_MARKER">Т!$P$44</definedName>
    <definedName name="REGION">TECHSHEET!$A$1:$A$86</definedName>
    <definedName name="region_name">Контакты!$G$10</definedName>
    <definedName name="SAPBEXrevision" hidden="1">1</definedName>
    <definedName name="SAPBEXsysID" hidden="1">"BW2"</definedName>
    <definedName name="SAPBEXwbID" hidden="1">"479GSPMTNK9HM4ZSIVE5K2SH6"</definedName>
    <definedName name="SAX_PARSER_FEATURE">TECHSHEET!$G$24</definedName>
    <definedName name="SINGLE_FILE_NAME">Свод!$C$10:$G$10</definedName>
    <definedName name="TECH_NDS_COLUMN_MARKER">Т!$FK$44</definedName>
    <definedName name="TECH_NUM_COLUMN_MARKER">Т!$FM$44</definedName>
    <definedName name="TECH_STATUS_COLUMN_MARKER">Т!$FL$44</definedName>
    <definedName name="TECH_USAGE_COLUMN_MARKER">Т!$FS$44</definedName>
    <definedName name="TOPL_TEMPLATE_MODE">Свод!$H$4</definedName>
    <definedName name="UpdStatus">Инструкция!$AA$1</definedName>
    <definedName name="VDET_COLUMN_MARKER">Т!$S$44</definedName>
    <definedName name="version" hidden="1">Инструкция!$B$3</definedName>
    <definedName name="W1X_P_TOPL_DATA_REGION_RANGE">PLAN_201X!$A$2:$J$19</definedName>
    <definedName name="W1X_TOPL_COMS_DATA_REGION_RANGE">COMS_DATA_REGION!$A$2:$D$8</definedName>
    <definedName name="W1X_TOPL_FUEL_DATA_REGION_RANGE">FUEL_DATA_REGION!$A$2:$DS$94</definedName>
    <definedName name="W1X_TOPL_ORG_DATA_REGION_RANGE">ORG_DATA_REGION!$A$2:$P$82</definedName>
    <definedName name="XML_AUTHORISATION_TAG_NAMES">TECHSHEET!$G$3</definedName>
    <definedName name="XML_MR_MO_OKTMO_LIST_TAG_NAMES">TECHSHEET!$E$16:$E$20</definedName>
    <definedName name="XML_ORG_LIST_TAG_NAMES">TECHSHEET!$E$3:$E$12</definedName>
    <definedName name="XML_PLAN1X_LIST_ORG_TOTAL_COSTS_TAG_NAMES">TECHSHEET!$F$24:$F$64</definedName>
    <definedName name="XML_PLAN1X_LIST_ORG_TOTAL_TAG_NAMES">TECHSHEET!$G$7:$G$20</definedName>
    <definedName name="XML_PLAN201X_LIST_TAG_NAMES">TECHSHEET!$E$24:$E$33</definedName>
    <definedName name="XML_W1X_TOPL_COMS_TAG_NAMES">TECHSHEET!$E$68:$E$71</definedName>
    <definedName name="XML_W1X_TOPL_FUEL_TAG_NAMES">TECHSHEET!$F$68:$F$190</definedName>
    <definedName name="XML_W1X_TOPL_ORG_TAG_NAMES">TECHSHEET!$F$3:$F$18</definedName>
    <definedName name="YES_NO">TECHSHEET!$D$1:$D$2</definedName>
  </definedNames>
  <calcPr calcId="124519"/>
</workbook>
</file>

<file path=xl/calcChain.xml><?xml version="1.0" encoding="utf-8"?>
<calcChain xmlns="http://schemas.openxmlformats.org/spreadsheetml/2006/main">
  <c r="GD64" i="165"/>
  <c r="GE64"/>
  <c r="GF64"/>
  <c r="GG64"/>
  <c r="AC64"/>
  <c r="FL64"/>
  <c r="AD64"/>
  <c r="GH64" s="1"/>
  <c r="GI64" s="1"/>
  <c r="FK64"/>
  <c r="AF64"/>
  <c r="AG64"/>
  <c r="AH64"/>
  <c r="AM64"/>
  <c r="AI64"/>
  <c r="AJ64"/>
  <c r="AV64"/>
  <c r="BA64"/>
  <c r="BF64"/>
  <c r="AT64"/>
  <c r="AW64"/>
  <c r="AY64"/>
  <c r="BB64"/>
  <c r="BD64"/>
  <c r="BG64"/>
  <c r="BN64"/>
  <c r="BO64"/>
  <c r="BP64"/>
  <c r="BU64"/>
  <c r="BQ64" s="1"/>
  <c r="CD64"/>
  <c r="BV64" s="1"/>
  <c r="BW64" s="1"/>
  <c r="CI64"/>
  <c r="CJ64" s="1"/>
  <c r="CN64"/>
  <c r="CB64"/>
  <c r="CG64"/>
  <c r="CL64"/>
  <c r="CO64"/>
  <c r="CV64"/>
  <c r="CW64"/>
  <c r="CX64"/>
  <c r="DC64"/>
  <c r="CY64" s="1"/>
  <c r="CZ64"/>
  <c r="DL64"/>
  <c r="DQ64"/>
  <c r="DR64" s="1"/>
  <c r="DV64"/>
  <c r="DJ64"/>
  <c r="DM64"/>
  <c r="DO64"/>
  <c r="DT64"/>
  <c r="DW64"/>
  <c r="ED64"/>
  <c r="EE64"/>
  <c r="EF64"/>
  <c r="EK64"/>
  <c r="EG64" s="1"/>
  <c r="EH64"/>
  <c r="ET64"/>
  <c r="EY64"/>
  <c r="EZ64" s="1"/>
  <c r="FD64"/>
  <c r="EL64"/>
  <c r="EM64" s="1"/>
  <c r="ER64"/>
  <c r="EU64"/>
  <c r="EW64"/>
  <c r="FB64"/>
  <c r="FE64"/>
  <c r="FM64"/>
  <c r="GD63"/>
  <c r="GE63"/>
  <c r="GF63"/>
  <c r="GG63"/>
  <c r="AC63"/>
  <c r="FL63"/>
  <c r="AD63" s="1"/>
  <c r="GH63" s="1"/>
  <c r="GI63" s="1"/>
  <c r="FK63"/>
  <c r="AF63" s="1"/>
  <c r="AG63"/>
  <c r="AH63"/>
  <c r="AM63"/>
  <c r="AI63" s="1"/>
  <c r="AJ63"/>
  <c r="AV63"/>
  <c r="BA63"/>
  <c r="BF63"/>
  <c r="AT63"/>
  <c r="AY63"/>
  <c r="BD63"/>
  <c r="BN63"/>
  <c r="BO63"/>
  <c r="BP63"/>
  <c r="BU63"/>
  <c r="BQ63" s="1"/>
  <c r="BR63"/>
  <c r="CD63"/>
  <c r="CI63"/>
  <c r="CJ63" s="1"/>
  <c r="CN63"/>
  <c r="BV63"/>
  <c r="BW63" s="1"/>
  <c r="CE63"/>
  <c r="CL63"/>
  <c r="CV63"/>
  <c r="CW63"/>
  <c r="CX63"/>
  <c r="DC63"/>
  <c r="CY63"/>
  <c r="CZ63"/>
  <c r="DL63"/>
  <c r="DQ63"/>
  <c r="DV63"/>
  <c r="DM63"/>
  <c r="DR63"/>
  <c r="DW63"/>
  <c r="EE63"/>
  <c r="EF63"/>
  <c r="EK63"/>
  <c r="EG63" s="1"/>
  <c r="ET63"/>
  <c r="EL63" s="1"/>
  <c r="EM63" s="1"/>
  <c r="EY63"/>
  <c r="FD63"/>
  <c r="ER63"/>
  <c r="EW63"/>
  <c r="FB63"/>
  <c r="FE63"/>
  <c r="FM63"/>
  <c r="GD62"/>
  <c r="GE62"/>
  <c r="GF62"/>
  <c r="GG62"/>
  <c r="AC62"/>
  <c r="FL62"/>
  <c r="AD62"/>
  <c r="GH62" s="1"/>
  <c r="GI62" s="1"/>
  <c r="FK62"/>
  <c r="AF62"/>
  <c r="AG62"/>
  <c r="AH62"/>
  <c r="AM62"/>
  <c r="AI62"/>
  <c r="AJ62"/>
  <c r="AV62"/>
  <c r="BA62"/>
  <c r="BF62"/>
  <c r="AT62"/>
  <c r="AW62"/>
  <c r="AY62"/>
  <c r="BB62"/>
  <c r="BD62"/>
  <c r="BG62"/>
  <c r="BN62"/>
  <c r="BO62"/>
  <c r="BP62"/>
  <c r="BU62"/>
  <c r="BQ62" s="1"/>
  <c r="CD62"/>
  <c r="BV62" s="1"/>
  <c r="BW62" s="1"/>
  <c r="CI62"/>
  <c r="CJ62" s="1"/>
  <c r="CN62"/>
  <c r="CB62"/>
  <c r="CG62"/>
  <c r="CL62"/>
  <c r="CO62"/>
  <c r="CV62"/>
  <c r="CW62"/>
  <c r="CX62"/>
  <c r="DC62"/>
  <c r="CY62" s="1"/>
  <c r="CZ62"/>
  <c r="DL62"/>
  <c r="DQ62"/>
  <c r="DR62" s="1"/>
  <c r="DV62"/>
  <c r="DJ62"/>
  <c r="DM62"/>
  <c r="DO62"/>
  <c r="DT62"/>
  <c r="DW62"/>
  <c r="ED62"/>
  <c r="EE62"/>
  <c r="EF62"/>
  <c r="EK62"/>
  <c r="EG62" s="1"/>
  <c r="EH62"/>
  <c r="ET62"/>
  <c r="EY62"/>
  <c r="EZ62" s="1"/>
  <c r="FD62"/>
  <c r="EL62"/>
  <c r="EM62" s="1"/>
  <c r="ER62"/>
  <c r="EU62"/>
  <c r="EW62"/>
  <c r="FB62"/>
  <c r="FE62"/>
  <c r="FM62"/>
  <c r="GD61"/>
  <c r="GE61"/>
  <c r="GF61"/>
  <c r="GG61"/>
  <c r="AC61"/>
  <c r="FL61"/>
  <c r="AD61" s="1"/>
  <c r="GH61" s="1"/>
  <c r="GI61" s="1"/>
  <c r="FK61"/>
  <c r="AF61" s="1"/>
  <c r="AG61"/>
  <c r="AH61"/>
  <c r="AM61"/>
  <c r="AI61" s="1"/>
  <c r="AJ61"/>
  <c r="AV61"/>
  <c r="BA61"/>
  <c r="BF61"/>
  <c r="AT61"/>
  <c r="AY61"/>
  <c r="BD61"/>
  <c r="BN61"/>
  <c r="BO61"/>
  <c r="BP61"/>
  <c r="BU61"/>
  <c r="BQ61" s="1"/>
  <c r="BR61"/>
  <c r="CD61"/>
  <c r="CI61"/>
  <c r="CJ61" s="1"/>
  <c r="CN61"/>
  <c r="BV61"/>
  <c r="BW61" s="1"/>
  <c r="CE61"/>
  <c r="CL61"/>
  <c r="CV61"/>
  <c r="CW61"/>
  <c r="CX61"/>
  <c r="DC61"/>
  <c r="CY61"/>
  <c r="CZ61"/>
  <c r="DL61"/>
  <c r="DQ61"/>
  <c r="DV61"/>
  <c r="DM61"/>
  <c r="DR61"/>
  <c r="DW61"/>
  <c r="EE61"/>
  <c r="EF61"/>
  <c r="EK61"/>
  <c r="EG61" s="1"/>
  <c r="ET61"/>
  <c r="EL61" s="1"/>
  <c r="EM61" s="1"/>
  <c r="EY61"/>
  <c r="FD61"/>
  <c r="ER61"/>
  <c r="EW61"/>
  <c r="FE61"/>
  <c r="FM61"/>
  <c r="GD60"/>
  <c r="GE60"/>
  <c r="GF60"/>
  <c r="GG60"/>
  <c r="AC60"/>
  <c r="FL60"/>
  <c r="AD60"/>
  <c r="GH60" s="1"/>
  <c r="GI60" s="1"/>
  <c r="FK60"/>
  <c r="AF60"/>
  <c r="AG60"/>
  <c r="AH60"/>
  <c r="AM60"/>
  <c r="AI60"/>
  <c r="AJ60"/>
  <c r="AV60"/>
  <c r="BA60"/>
  <c r="BF60"/>
  <c r="AT60"/>
  <c r="AW60"/>
  <c r="AY60"/>
  <c r="BB60"/>
  <c r="BD60"/>
  <c r="BG60"/>
  <c r="BN60"/>
  <c r="BO60"/>
  <c r="BP60"/>
  <c r="BU60"/>
  <c r="BQ60" s="1"/>
  <c r="CD60"/>
  <c r="BV60" s="1"/>
  <c r="BW60" s="1"/>
  <c r="CI60"/>
  <c r="CJ60" s="1"/>
  <c r="CN60"/>
  <c r="CB60"/>
  <c r="CG60"/>
  <c r="CL60"/>
  <c r="CO60"/>
  <c r="CV60"/>
  <c r="CW60"/>
  <c r="CX60"/>
  <c r="DC60"/>
  <c r="CY60" s="1"/>
  <c r="CZ60"/>
  <c r="DL60"/>
  <c r="DQ60"/>
  <c r="DR60" s="1"/>
  <c r="DV60"/>
  <c r="DJ60"/>
  <c r="DM60"/>
  <c r="DO60"/>
  <c r="DT60"/>
  <c r="DW60"/>
  <c r="ED60"/>
  <c r="EE60"/>
  <c r="EF60"/>
  <c r="EK60"/>
  <c r="EG60" s="1"/>
  <c r="EH60"/>
  <c r="ET60"/>
  <c r="EY60"/>
  <c r="EZ60" s="1"/>
  <c r="FD60"/>
  <c r="EL60"/>
  <c r="EM60" s="1"/>
  <c r="ER60"/>
  <c r="EU60"/>
  <c r="EW60"/>
  <c r="FB60"/>
  <c r="FE60"/>
  <c r="FM60"/>
  <c r="GD59"/>
  <c r="GE59"/>
  <c r="GF59"/>
  <c r="GG59"/>
  <c r="AC59"/>
  <c r="FL59"/>
  <c r="AD59" s="1"/>
  <c r="GH59" s="1"/>
  <c r="GI59" s="1"/>
  <c r="FK59"/>
  <c r="AF59" s="1"/>
  <c r="AG59"/>
  <c r="AH59"/>
  <c r="AM59"/>
  <c r="AI59" s="1"/>
  <c r="AJ59"/>
  <c r="AV59"/>
  <c r="BA59"/>
  <c r="BF59"/>
  <c r="AT59"/>
  <c r="AY59"/>
  <c r="BD59"/>
  <c r="BN59"/>
  <c r="BO59"/>
  <c r="BP59"/>
  <c r="BU59"/>
  <c r="BQ59" s="1"/>
  <c r="BR59"/>
  <c r="CD59"/>
  <c r="CI59"/>
  <c r="CJ59" s="1"/>
  <c r="CN59"/>
  <c r="BV59"/>
  <c r="BW59" s="1"/>
  <c r="CE59"/>
  <c r="CL59"/>
  <c r="CV59"/>
  <c r="CW59"/>
  <c r="CX59"/>
  <c r="DC59"/>
  <c r="CY59"/>
  <c r="CZ59"/>
  <c r="DL59"/>
  <c r="DQ59"/>
  <c r="DV59"/>
  <c r="DM59"/>
  <c r="DR59"/>
  <c r="DW59"/>
  <c r="EE59"/>
  <c r="EF59"/>
  <c r="EK59"/>
  <c r="EG59" s="1"/>
  <c r="ET59"/>
  <c r="EL59" s="1"/>
  <c r="EM59" s="1"/>
  <c r="EY59"/>
  <c r="FD59"/>
  <c r="ER59"/>
  <c r="EW59"/>
  <c r="FE59"/>
  <c r="FM59"/>
  <c r="GD58"/>
  <c r="GE58"/>
  <c r="GF58"/>
  <c r="GG58"/>
  <c r="AC58"/>
  <c r="FL58"/>
  <c r="AD58"/>
  <c r="GH58" s="1"/>
  <c r="GI58" s="1"/>
  <c r="FK58"/>
  <c r="AF58"/>
  <c r="AG58"/>
  <c r="AH58"/>
  <c r="AM58"/>
  <c r="AI58"/>
  <c r="AJ58"/>
  <c r="AV58"/>
  <c r="BA58"/>
  <c r="BF58"/>
  <c r="AT58"/>
  <c r="AW58"/>
  <c r="AY58"/>
  <c r="BB58"/>
  <c r="BD58"/>
  <c r="BG58"/>
  <c r="BN58"/>
  <c r="BO58"/>
  <c r="BP58"/>
  <c r="BU58"/>
  <c r="BQ58" s="1"/>
  <c r="CD58"/>
  <c r="BV58" s="1"/>
  <c r="BW58" s="1"/>
  <c r="CI58"/>
  <c r="CJ58" s="1"/>
  <c r="CN58"/>
  <c r="CB58"/>
  <c r="CG58"/>
  <c r="CL58"/>
  <c r="CO58"/>
  <c r="CV58"/>
  <c r="CW58"/>
  <c r="CX58"/>
  <c r="DC58"/>
  <c r="CY58" s="1"/>
  <c r="CZ58"/>
  <c r="DL58"/>
  <c r="DQ58"/>
  <c r="DR58" s="1"/>
  <c r="DV58"/>
  <c r="DJ58"/>
  <c r="DM58"/>
  <c r="DO58"/>
  <c r="DT58"/>
  <c r="DW58"/>
  <c r="ED58"/>
  <c r="EE58"/>
  <c r="EF58"/>
  <c r="EK58"/>
  <c r="EG58" s="1"/>
  <c r="EH58"/>
  <c r="ET58"/>
  <c r="EY58"/>
  <c r="EZ58" s="1"/>
  <c r="FD58"/>
  <c r="EL58"/>
  <c r="EM58" s="1"/>
  <c r="ER58"/>
  <c r="EU58"/>
  <c r="EW58"/>
  <c r="FB58"/>
  <c r="FE58"/>
  <c r="FM58"/>
  <c r="GD57"/>
  <c r="GE57"/>
  <c r="GF57"/>
  <c r="GG57"/>
  <c r="FL57"/>
  <c r="AD57" s="1"/>
  <c r="GH57" s="1"/>
  <c r="BH57"/>
  <c r="FK57"/>
  <c r="BI57"/>
  <c r="BL57"/>
  <c r="CP57"/>
  <c r="CQ57" s="1"/>
  <c r="CT57"/>
  <c r="DX57"/>
  <c r="DY57" s="1"/>
  <c r="EB57"/>
  <c r="FF57"/>
  <c r="FG57" s="1"/>
  <c r="FJ57"/>
  <c r="FM57"/>
  <c r="GD56"/>
  <c r="GE56"/>
  <c r="GF56"/>
  <c r="GG56"/>
  <c r="FL56"/>
  <c r="AD56" s="1"/>
  <c r="GH56" s="1"/>
  <c r="GI56" s="1"/>
  <c r="BH56"/>
  <c r="FK56"/>
  <c r="BL56"/>
  <c r="CP56"/>
  <c r="CQ56"/>
  <c r="DX56"/>
  <c r="EB56"/>
  <c r="FF56"/>
  <c r="FG56"/>
  <c r="FM56"/>
  <c r="GD55"/>
  <c r="GE55"/>
  <c r="GF55"/>
  <c r="GG55"/>
  <c r="AC55"/>
  <c r="FL55"/>
  <c r="AD55"/>
  <c r="GH55" s="1"/>
  <c r="GI55" s="1"/>
  <c r="FK55"/>
  <c r="AF55"/>
  <c r="AG55"/>
  <c r="AH55"/>
  <c r="AM55"/>
  <c r="AI55"/>
  <c r="AJ55"/>
  <c r="AV55"/>
  <c r="BA55"/>
  <c r="BF55"/>
  <c r="AT55"/>
  <c r="AW55"/>
  <c r="AY55"/>
  <c r="BB55"/>
  <c r="BD55"/>
  <c r="BG55"/>
  <c r="BN55"/>
  <c r="BO55"/>
  <c r="BP55"/>
  <c r="BU55"/>
  <c r="BQ55" s="1"/>
  <c r="CD55"/>
  <c r="BV55" s="1"/>
  <c r="BW55" s="1"/>
  <c r="CI55"/>
  <c r="CJ55" s="1"/>
  <c r="CN55"/>
  <c r="CB55"/>
  <c r="CG55"/>
  <c r="CL55"/>
  <c r="CO55"/>
  <c r="CV55"/>
  <c r="CW55"/>
  <c r="CX55"/>
  <c r="DC55"/>
  <c r="CY55" s="1"/>
  <c r="CZ55"/>
  <c r="DL55"/>
  <c r="DQ55"/>
  <c r="DR55" s="1"/>
  <c r="DV55"/>
  <c r="DJ55"/>
  <c r="DM55"/>
  <c r="DO55"/>
  <c r="DT55"/>
  <c r="DW55"/>
  <c r="ED55"/>
  <c r="EE55"/>
  <c r="EF55"/>
  <c r="EK55"/>
  <c r="EG55" s="1"/>
  <c r="EH55"/>
  <c r="ET55"/>
  <c r="EY55"/>
  <c r="EZ55" s="1"/>
  <c r="FD55"/>
  <c r="EL55"/>
  <c r="EM55" s="1"/>
  <c r="ER55"/>
  <c r="EU55"/>
  <c r="EW55"/>
  <c r="FB55"/>
  <c r="FE55"/>
  <c r="FM55"/>
  <c r="GD54"/>
  <c r="GE54"/>
  <c r="GF54"/>
  <c r="GG54"/>
  <c r="AC54"/>
  <c r="FL54"/>
  <c r="AD54" s="1"/>
  <c r="GH54" s="1"/>
  <c r="GI54" s="1"/>
  <c r="FK54"/>
  <c r="AF54" s="1"/>
  <c r="AG54"/>
  <c r="AH54"/>
  <c r="AM54"/>
  <c r="AI54" s="1"/>
  <c r="AJ54"/>
  <c r="AV54"/>
  <c r="BA54"/>
  <c r="BF54"/>
  <c r="AT54"/>
  <c r="AY54"/>
  <c r="BD54"/>
  <c r="BN54"/>
  <c r="BO54"/>
  <c r="BP54"/>
  <c r="BU54"/>
  <c r="BQ54" s="1"/>
  <c r="BR54"/>
  <c r="CD54"/>
  <c r="CI54"/>
  <c r="CJ54" s="1"/>
  <c r="CN54"/>
  <c r="BV54"/>
  <c r="BW54" s="1"/>
  <c r="CE54"/>
  <c r="CL54"/>
  <c r="CV54"/>
  <c r="CW54"/>
  <c r="CX54"/>
  <c r="DC54"/>
  <c r="CY54"/>
  <c r="CZ54"/>
  <c r="DL54"/>
  <c r="DQ54"/>
  <c r="DV54"/>
  <c r="DM54"/>
  <c r="DR54"/>
  <c r="DW54"/>
  <c r="EE54"/>
  <c r="EF54"/>
  <c r="EK54"/>
  <c r="EG54" s="1"/>
  <c r="ET54"/>
  <c r="EL54" s="1"/>
  <c r="EM54" s="1"/>
  <c r="EY54"/>
  <c r="FD54"/>
  <c r="ER54"/>
  <c r="EW54"/>
  <c r="FE54"/>
  <c r="FM54"/>
  <c r="GD53"/>
  <c r="GE53"/>
  <c r="GF53"/>
  <c r="GG53"/>
  <c r="AC53"/>
  <c r="FL53"/>
  <c r="AD53"/>
  <c r="GH53" s="1"/>
  <c r="GI53" s="1"/>
  <c r="FK53"/>
  <c r="AF53"/>
  <c r="AG53"/>
  <c r="AH53"/>
  <c r="AM53"/>
  <c r="AI53"/>
  <c r="AJ53"/>
  <c r="AV53"/>
  <c r="BA53"/>
  <c r="BF53"/>
  <c r="AT53"/>
  <c r="AW53"/>
  <c r="AY53"/>
  <c r="BB53"/>
  <c r="BD53"/>
  <c r="BG53"/>
  <c r="BN53"/>
  <c r="BO53"/>
  <c r="BP53"/>
  <c r="BU53"/>
  <c r="BQ53" s="1"/>
  <c r="CD53"/>
  <c r="BV53" s="1"/>
  <c r="BW53" s="1"/>
  <c r="CI53"/>
  <c r="CJ53" s="1"/>
  <c r="CN53"/>
  <c r="CB53"/>
  <c r="CG53"/>
  <c r="CL53"/>
  <c r="CO53"/>
  <c r="CV53"/>
  <c r="CW53"/>
  <c r="CX53"/>
  <c r="DC53"/>
  <c r="CY53" s="1"/>
  <c r="CZ53"/>
  <c r="DL53"/>
  <c r="DQ53"/>
  <c r="DR53" s="1"/>
  <c r="DV53"/>
  <c r="DJ53"/>
  <c r="DM53"/>
  <c r="DO53"/>
  <c r="DT53"/>
  <c r="DW53"/>
  <c r="ED53"/>
  <c r="EE53"/>
  <c r="EF53"/>
  <c r="EK53"/>
  <c r="EG53" s="1"/>
  <c r="EH53"/>
  <c r="ET53"/>
  <c r="EY53"/>
  <c r="EZ53" s="1"/>
  <c r="FD53"/>
  <c r="EL53"/>
  <c r="EM53" s="1"/>
  <c r="ER53"/>
  <c r="EU53"/>
  <c r="EW53"/>
  <c r="FB53"/>
  <c r="FE53"/>
  <c r="FM53"/>
  <c r="GD52"/>
  <c r="GE52"/>
  <c r="GF52"/>
  <c r="GG52"/>
  <c r="AC52"/>
  <c r="FL52"/>
  <c r="AD52" s="1"/>
  <c r="GH52" s="1"/>
  <c r="GI52" s="1"/>
  <c r="FK52"/>
  <c r="AF52" s="1"/>
  <c r="AG52"/>
  <c r="AH52"/>
  <c r="AM52"/>
  <c r="AI52" s="1"/>
  <c r="AJ52"/>
  <c r="AV52"/>
  <c r="BA52"/>
  <c r="BF52"/>
  <c r="AT52"/>
  <c r="AY52"/>
  <c r="BD52"/>
  <c r="BN52"/>
  <c r="BO52"/>
  <c r="BP52"/>
  <c r="BU52"/>
  <c r="BQ52" s="1"/>
  <c r="BR52"/>
  <c r="CD52"/>
  <c r="CI52"/>
  <c r="CJ52" s="1"/>
  <c r="CN52"/>
  <c r="BV52"/>
  <c r="BW52" s="1"/>
  <c r="CE52"/>
  <c r="CL52"/>
  <c r="CV52"/>
  <c r="CW52"/>
  <c r="CX52"/>
  <c r="DC52"/>
  <c r="CY52"/>
  <c r="CZ52"/>
  <c r="DL52"/>
  <c r="DQ52"/>
  <c r="DV52"/>
  <c r="DM52"/>
  <c r="DR52"/>
  <c r="DW52"/>
  <c r="EE52"/>
  <c r="EF52"/>
  <c r="EK52"/>
  <c r="EG52" s="1"/>
  <c r="ET52"/>
  <c r="EL52" s="1"/>
  <c r="EM52" s="1"/>
  <c r="EY52"/>
  <c r="FD52"/>
  <c r="ER52"/>
  <c r="EW52"/>
  <c r="FE52"/>
  <c r="FM52"/>
  <c r="GD51"/>
  <c r="GE51"/>
  <c r="GF51"/>
  <c r="GG51"/>
  <c r="AC51"/>
  <c r="FL51"/>
  <c r="AD51"/>
  <c r="GH51" s="1"/>
  <c r="GI51" s="1"/>
  <c r="FK51"/>
  <c r="AF51"/>
  <c r="AG51"/>
  <c r="AH51"/>
  <c r="AM51"/>
  <c r="AI51"/>
  <c r="AJ51"/>
  <c r="AV51"/>
  <c r="BA51"/>
  <c r="BF51"/>
  <c r="AT51"/>
  <c r="AW51"/>
  <c r="AY51"/>
  <c r="BB51"/>
  <c r="BD51"/>
  <c r="BG51"/>
  <c r="BN51"/>
  <c r="BO51"/>
  <c r="BP51"/>
  <c r="BU51"/>
  <c r="BQ51" s="1"/>
  <c r="CD51"/>
  <c r="BV51" s="1"/>
  <c r="BW51" s="1"/>
  <c r="CI51"/>
  <c r="CJ51" s="1"/>
  <c r="CN51"/>
  <c r="CB51"/>
  <c r="CG51"/>
  <c r="CL51"/>
  <c r="CO51"/>
  <c r="CV51"/>
  <c r="CW51"/>
  <c r="CX51"/>
  <c r="DC51"/>
  <c r="CY51" s="1"/>
  <c r="CZ51"/>
  <c r="DL51"/>
  <c r="DQ51"/>
  <c r="DR51" s="1"/>
  <c r="DV51"/>
  <c r="DJ51"/>
  <c r="DM51"/>
  <c r="DO51"/>
  <c r="DT51"/>
  <c r="DW51"/>
  <c r="ED51"/>
  <c r="EE51"/>
  <c r="EF51"/>
  <c r="EK51"/>
  <c r="EG51" s="1"/>
  <c r="EH51"/>
  <c r="ET51"/>
  <c r="EY51"/>
  <c r="EZ51" s="1"/>
  <c r="FD51"/>
  <c r="EL51"/>
  <c r="EM51" s="1"/>
  <c r="ER51"/>
  <c r="EU51"/>
  <c r="EW51"/>
  <c r="FB51"/>
  <c r="FE51"/>
  <c r="FM51"/>
  <c r="GD50"/>
  <c r="GE50"/>
  <c r="GF50"/>
  <c r="GG50"/>
  <c r="AC50"/>
  <c r="FL50"/>
  <c r="AD50" s="1"/>
  <c r="FK50"/>
  <c r="AF50" s="1"/>
  <c r="AG50"/>
  <c r="AH50"/>
  <c r="AM50"/>
  <c r="AI50" s="1"/>
  <c r="AJ50"/>
  <c r="AV50"/>
  <c r="BA50"/>
  <c r="BF50"/>
  <c r="AT50"/>
  <c r="AY50"/>
  <c r="BD50"/>
  <c r="BN50"/>
  <c r="BO50"/>
  <c r="BP50"/>
  <c r="BU50"/>
  <c r="BQ50" s="1"/>
  <c r="BR50"/>
  <c r="CD50"/>
  <c r="CI50"/>
  <c r="CJ50" s="1"/>
  <c r="CN50"/>
  <c r="BV50"/>
  <c r="BW50" s="1"/>
  <c r="CE50"/>
  <c r="CL50"/>
  <c r="CV50"/>
  <c r="CW50"/>
  <c r="CX50"/>
  <c r="DC50"/>
  <c r="CY50"/>
  <c r="CZ50"/>
  <c r="DL50"/>
  <c r="DQ50"/>
  <c r="DV50"/>
  <c r="DM50"/>
  <c r="DR50"/>
  <c r="DW50"/>
  <c r="EE50"/>
  <c r="EF50"/>
  <c r="EK50"/>
  <c r="EG50" s="1"/>
  <c r="ET50"/>
  <c r="EL50" s="1"/>
  <c r="EM50" s="1"/>
  <c r="EY50"/>
  <c r="FD50"/>
  <c r="ER50"/>
  <c r="EW50"/>
  <c r="FE50"/>
  <c r="FM50"/>
  <c r="GD49"/>
  <c r="GE49"/>
  <c r="GF49"/>
  <c r="GG49"/>
  <c r="FL49"/>
  <c r="AD49" s="1"/>
  <c r="GH49" s="1"/>
  <c r="FK49"/>
  <c r="AF49" s="1"/>
  <c r="AH49"/>
  <c r="AM49"/>
  <c r="AI49"/>
  <c r="AJ49"/>
  <c r="AN49"/>
  <c r="BN49"/>
  <c r="BU49"/>
  <c r="BQ49" s="1"/>
  <c r="BV49"/>
  <c r="BW49" s="1"/>
  <c r="CX49"/>
  <c r="DC49"/>
  <c r="CY49"/>
  <c r="CZ49"/>
  <c r="DD49"/>
  <c r="ED49"/>
  <c r="EK49"/>
  <c r="EG49" s="1"/>
  <c r="EL49"/>
  <c r="EM49" s="1"/>
  <c r="FM49"/>
  <c r="GD48"/>
  <c r="GE48"/>
  <c r="GF48"/>
  <c r="GG48"/>
  <c r="FL48"/>
  <c r="AD48"/>
  <c r="GH48" s="1"/>
  <c r="GI48" s="1"/>
  <c r="FK48"/>
  <c r="AF48"/>
  <c r="AH48"/>
  <c r="AM48"/>
  <c r="AN48"/>
  <c r="AI48"/>
  <c r="AO48"/>
  <c r="AJ48"/>
  <c r="AQ48"/>
  <c r="BN48"/>
  <c r="BP48"/>
  <c r="BU48"/>
  <c r="BV48"/>
  <c r="BQ48"/>
  <c r="BW48"/>
  <c r="BR48"/>
  <c r="BY48"/>
  <c r="CV48"/>
  <c r="CX48"/>
  <c r="DC48"/>
  <c r="DD48"/>
  <c r="CY48"/>
  <c r="DE48"/>
  <c r="CZ48"/>
  <c r="DG48"/>
  <c r="ED48"/>
  <c r="EF48"/>
  <c r="EK48"/>
  <c r="EL48"/>
  <c r="EG48"/>
  <c r="EM48"/>
  <c r="EH48"/>
  <c r="EO48"/>
  <c r="FS48"/>
  <c r="FM48"/>
  <c r="GD47"/>
  <c r="GE47"/>
  <c r="GF47"/>
  <c r="GG47"/>
  <c r="FL47"/>
  <c r="AD47" s="1"/>
  <c r="FK47"/>
  <c r="AF47" s="1"/>
  <c r="AH47"/>
  <c r="AM47"/>
  <c r="AN47"/>
  <c r="AI47" s="1"/>
  <c r="AQ47"/>
  <c r="BP47"/>
  <c r="BU47"/>
  <c r="BV47"/>
  <c r="BW47"/>
  <c r="BR47" s="1"/>
  <c r="BY47"/>
  <c r="CX47"/>
  <c r="DC47"/>
  <c r="DD47"/>
  <c r="CY47" s="1"/>
  <c r="DG47"/>
  <c r="EF47"/>
  <c r="EK47"/>
  <c r="EL47"/>
  <c r="EM47"/>
  <c r="EH47" s="1"/>
  <c r="EO47"/>
  <c r="FM47"/>
  <c r="AC15"/>
  <c r="AD15"/>
  <c r="BF150" i="129"/>
  <c r="BA150"/>
  <c r="AV150"/>
  <c r="AM150"/>
  <c r="AJ150" s="1"/>
  <c r="AH150"/>
  <c r="AG150"/>
  <c r="BF149"/>
  <c r="BA149"/>
  <c r="AV149"/>
  <c r="AM149"/>
  <c r="AI149" s="1"/>
  <c r="AH149"/>
  <c r="AG149"/>
  <c r="BF148"/>
  <c r="BA148"/>
  <c r="AV148"/>
  <c r="AM148"/>
  <c r="AI148"/>
  <c r="AH148"/>
  <c r="AG148"/>
  <c r="BF147"/>
  <c r="BA147"/>
  <c r="AV147"/>
  <c r="AN147"/>
  <c r="AM147"/>
  <c r="AJ147"/>
  <c r="AH147"/>
  <c r="AG147"/>
  <c r="BF146"/>
  <c r="BA146"/>
  <c r="AV146"/>
  <c r="AN146"/>
  <c r="AM146"/>
  <c r="AJ146"/>
  <c r="AH146"/>
  <c r="AG146"/>
  <c r="BF145"/>
  <c r="BA145"/>
  <c r="AV145"/>
  <c r="AN145"/>
  <c r="AM145"/>
  <c r="AJ145"/>
  <c r="AI145"/>
  <c r="AH145"/>
  <c r="AG145"/>
  <c r="BF144"/>
  <c r="BA144"/>
  <c r="AV144"/>
  <c r="AM144"/>
  <c r="AI144"/>
  <c r="AH144"/>
  <c r="AG144"/>
  <c r="BH143"/>
  <c r="BH142"/>
  <c r="BF141"/>
  <c r="BA141"/>
  <c r="AV141"/>
  <c r="AM141"/>
  <c r="AI141" s="1"/>
  <c r="AH141"/>
  <c r="AG141"/>
  <c r="BF140"/>
  <c r="BA140"/>
  <c r="AV140"/>
  <c r="AM140"/>
  <c r="AI140" s="1"/>
  <c r="AH140"/>
  <c r="AG140"/>
  <c r="BF139"/>
  <c r="BA139"/>
  <c r="AV139"/>
  <c r="AM139"/>
  <c r="AJ139" s="1"/>
  <c r="AH139"/>
  <c r="AG139"/>
  <c r="BF138"/>
  <c r="BA138"/>
  <c r="AV138"/>
  <c r="AM138"/>
  <c r="AJ138"/>
  <c r="AH138"/>
  <c r="AG138"/>
  <c r="BF137"/>
  <c r="BA137"/>
  <c r="AV137"/>
  <c r="AN137"/>
  <c r="AM137"/>
  <c r="AJ137"/>
  <c r="AH137"/>
  <c r="AG137"/>
  <c r="BF136"/>
  <c r="BA136"/>
  <c r="AV136"/>
  <c r="AM136"/>
  <c r="AH136"/>
  <c r="AG136"/>
  <c r="AN135"/>
  <c r="AM135"/>
  <c r="AI135" s="1"/>
  <c r="AN134"/>
  <c r="AM134"/>
  <c r="AI134" s="1"/>
  <c r="AN133"/>
  <c r="AM133"/>
  <c r="AI133" s="1"/>
  <c r="FQ29" i="177"/>
  <c r="FQ28"/>
  <c r="FQ27"/>
  <c r="FQ26"/>
  <c r="FQ25"/>
  <c r="FQ24"/>
  <c r="FQ23"/>
  <c r="FQ22"/>
  <c r="FQ21"/>
  <c r="FQ20"/>
  <c r="FQ19"/>
  <c r="FQ18"/>
  <c r="FQ17"/>
  <c r="FQ16"/>
  <c r="FQ15"/>
  <c r="FQ14"/>
  <c r="FQ13"/>
  <c r="FQ12"/>
  <c r="FP29"/>
  <c r="FP28"/>
  <c r="FP27"/>
  <c r="FP26"/>
  <c r="FP25"/>
  <c r="FP24"/>
  <c r="FP23"/>
  <c r="FP22"/>
  <c r="FP21"/>
  <c r="FP20"/>
  <c r="FP19"/>
  <c r="FP18"/>
  <c r="FP17"/>
  <c r="FP16"/>
  <c r="FP15"/>
  <c r="FP14"/>
  <c r="FP13"/>
  <c r="FP12"/>
  <c r="FV6"/>
  <c r="Q6"/>
  <c r="CN150" i="129"/>
  <c r="CI150"/>
  <c r="CD150"/>
  <c r="BV150" s="1"/>
  <c r="BU150"/>
  <c r="BR150" s="1"/>
  <c r="BP150"/>
  <c r="BO150"/>
  <c r="CN149"/>
  <c r="CI149"/>
  <c r="CD149"/>
  <c r="BU149"/>
  <c r="BR149"/>
  <c r="BP149"/>
  <c r="BO149"/>
  <c r="CN148"/>
  <c r="CI148"/>
  <c r="CD148"/>
  <c r="BU148"/>
  <c r="BQ148" s="1"/>
  <c r="BP148"/>
  <c r="BO148"/>
  <c r="CN147"/>
  <c r="CI147"/>
  <c r="CD147"/>
  <c r="BU147"/>
  <c r="BP147"/>
  <c r="BO147"/>
  <c r="CN146"/>
  <c r="CI146"/>
  <c r="CD146"/>
  <c r="BU146"/>
  <c r="BQ146" s="1"/>
  <c r="BP146"/>
  <c r="BO146"/>
  <c r="CN145"/>
  <c r="CI145"/>
  <c r="CD145"/>
  <c r="BV145" s="1"/>
  <c r="BU145"/>
  <c r="BP145"/>
  <c r="BO145"/>
  <c r="CN144"/>
  <c r="CI144"/>
  <c r="CD144"/>
  <c r="BU144"/>
  <c r="BP144"/>
  <c r="BO144"/>
  <c r="CP143"/>
  <c r="CP142"/>
  <c r="CN141"/>
  <c r="CI141"/>
  <c r="CD141"/>
  <c r="BU141"/>
  <c r="BQ141" s="1"/>
  <c r="BP141"/>
  <c r="BO141"/>
  <c r="CN140"/>
  <c r="CI140"/>
  <c r="CD140"/>
  <c r="BU140"/>
  <c r="BQ140" s="1"/>
  <c r="BP140"/>
  <c r="BO140"/>
  <c r="CN139"/>
  <c r="CI139"/>
  <c r="CD139"/>
  <c r="BV139" s="1"/>
  <c r="BU139"/>
  <c r="BR139" s="1"/>
  <c r="BP139"/>
  <c r="BO139"/>
  <c r="CN138"/>
  <c r="CI138"/>
  <c r="CD138"/>
  <c r="BU138"/>
  <c r="BR138"/>
  <c r="BP138"/>
  <c r="BO138"/>
  <c r="CN137"/>
  <c r="CI137"/>
  <c r="CD137"/>
  <c r="BV137"/>
  <c r="BU137"/>
  <c r="BQ137" s="1"/>
  <c r="BP137"/>
  <c r="BO137"/>
  <c r="CN136"/>
  <c r="CI136"/>
  <c r="CD136"/>
  <c r="BV136" s="1"/>
  <c r="BU136"/>
  <c r="BR136" s="1"/>
  <c r="BP136"/>
  <c r="BO136"/>
  <c r="BV135"/>
  <c r="BU135"/>
  <c r="BV134"/>
  <c r="BU134"/>
  <c r="BR134"/>
  <c r="BV133"/>
  <c r="BU133"/>
  <c r="BQ133" s="1"/>
  <c r="FR29" i="177"/>
  <c r="FR28"/>
  <c r="FR27"/>
  <c r="FR26"/>
  <c r="FR25"/>
  <c r="FR24"/>
  <c r="FR23"/>
  <c r="FR22"/>
  <c r="FR21"/>
  <c r="FR20"/>
  <c r="FR19"/>
  <c r="FR18"/>
  <c r="FR17"/>
  <c r="FR16"/>
  <c r="FR15"/>
  <c r="FR14"/>
  <c r="FR13"/>
  <c r="FR12"/>
  <c r="B5" i="211"/>
  <c r="DV150" i="129"/>
  <c r="DQ150"/>
  <c r="DL150"/>
  <c r="DC150"/>
  <c r="CZ150" s="1"/>
  <c r="CX150"/>
  <c r="CW150"/>
  <c r="DV149"/>
  <c r="DQ149"/>
  <c r="DL149"/>
  <c r="DC149"/>
  <c r="CZ149" s="1"/>
  <c r="CX149"/>
  <c r="CW149"/>
  <c r="DV148"/>
  <c r="DQ148"/>
  <c r="DL148"/>
  <c r="DC148"/>
  <c r="CY148" s="1"/>
  <c r="CX148"/>
  <c r="CW148"/>
  <c r="DV147"/>
  <c r="DQ147"/>
  <c r="DL147"/>
  <c r="DC147"/>
  <c r="CZ147" s="1"/>
  <c r="CX147"/>
  <c r="CW147"/>
  <c r="DV146"/>
  <c r="DQ146"/>
  <c r="DL146"/>
  <c r="DC146"/>
  <c r="CX146"/>
  <c r="CW146"/>
  <c r="DV145"/>
  <c r="DQ145"/>
  <c r="DL145"/>
  <c r="DC145"/>
  <c r="CZ145" s="1"/>
  <c r="CX145"/>
  <c r="CW145"/>
  <c r="DV144"/>
  <c r="DQ144"/>
  <c r="DL144"/>
  <c r="DC144"/>
  <c r="CY144" s="1"/>
  <c r="CX144"/>
  <c r="CW144"/>
  <c r="DX143"/>
  <c r="DX142"/>
  <c r="DV141"/>
  <c r="DQ141"/>
  <c r="DL141"/>
  <c r="DD141" s="1"/>
  <c r="DC141"/>
  <c r="CX141"/>
  <c r="CW141"/>
  <c r="DV140"/>
  <c r="DQ140"/>
  <c r="DL140"/>
  <c r="DC140"/>
  <c r="CX140"/>
  <c r="CW140"/>
  <c r="DV139"/>
  <c r="DQ139"/>
  <c r="DL139"/>
  <c r="DC139"/>
  <c r="CZ139" s="1"/>
  <c r="CX139"/>
  <c r="CW139"/>
  <c r="DV138"/>
  <c r="DQ138"/>
  <c r="DL138"/>
  <c r="DC138"/>
  <c r="CX138"/>
  <c r="CW138"/>
  <c r="DV137"/>
  <c r="DQ137"/>
  <c r="DL137"/>
  <c r="DC137"/>
  <c r="CZ137" s="1"/>
  <c r="CX137"/>
  <c r="CW137"/>
  <c r="DV136"/>
  <c r="DQ136"/>
  <c r="DL136"/>
  <c r="DC136"/>
  <c r="CZ136" s="1"/>
  <c r="CX136"/>
  <c r="CW136"/>
  <c r="DD135"/>
  <c r="DC135"/>
  <c r="CY135"/>
  <c r="DD134"/>
  <c r="DC134"/>
  <c r="CY134" s="1"/>
  <c r="DD133"/>
  <c r="DC133"/>
  <c r="CY133" s="1"/>
  <c r="EE136"/>
  <c r="EE137"/>
  <c r="EE138"/>
  <c r="EE139"/>
  <c r="EE140"/>
  <c r="EE141"/>
  <c r="EE144"/>
  <c r="EE145"/>
  <c r="EE146"/>
  <c r="EE147"/>
  <c r="EE148"/>
  <c r="EE149"/>
  <c r="EE150"/>
  <c r="I6" i="165"/>
  <c r="I8" i="202"/>
  <c r="O4" i="177"/>
  <c r="FD150" i="129"/>
  <c r="EY150"/>
  <c r="ET150"/>
  <c r="EK150"/>
  <c r="EH150" s="1"/>
  <c r="EF150"/>
  <c r="FD149"/>
  <c r="EY149"/>
  <c r="ET149"/>
  <c r="EL149"/>
  <c r="EK149"/>
  <c r="EH149"/>
  <c r="EF149"/>
  <c r="FD148"/>
  <c r="EY148"/>
  <c r="ET148"/>
  <c r="EK148"/>
  <c r="EF148"/>
  <c r="FD147"/>
  <c r="EY147"/>
  <c r="ET147"/>
  <c r="EK147"/>
  <c r="EG147" s="1"/>
  <c r="EF147"/>
  <c r="FD146"/>
  <c r="EY146"/>
  <c r="ET146"/>
  <c r="EK146"/>
  <c r="EG146" s="1"/>
  <c r="EF146"/>
  <c r="FD145"/>
  <c r="EY145"/>
  <c r="ET145"/>
  <c r="EL145"/>
  <c r="EK145"/>
  <c r="EH145"/>
  <c r="EF145"/>
  <c r="FD144"/>
  <c r="EY144"/>
  <c r="ET144"/>
  <c r="EK144"/>
  <c r="EH144"/>
  <c r="EF144"/>
  <c r="FF143"/>
  <c r="FF142"/>
  <c r="FD141"/>
  <c r="EY141"/>
  <c r="ET141"/>
  <c r="EK141"/>
  <c r="EH141"/>
  <c r="EF141"/>
  <c r="FD140"/>
  <c r="EY140"/>
  <c r="ET140"/>
  <c r="EL140" s="1"/>
  <c r="EK140"/>
  <c r="EF140"/>
  <c r="FD139"/>
  <c r="EY139"/>
  <c r="ET139"/>
  <c r="EK139"/>
  <c r="EH139" s="1"/>
  <c r="EF139"/>
  <c r="FD138"/>
  <c r="EY138"/>
  <c r="ET138"/>
  <c r="EK138"/>
  <c r="EF138"/>
  <c r="FD137"/>
  <c r="EY137"/>
  <c r="ET137"/>
  <c r="EK137"/>
  <c r="EG137" s="1"/>
  <c r="EF137"/>
  <c r="FD136"/>
  <c r="EY136"/>
  <c r="ET136"/>
  <c r="EK136"/>
  <c r="EH136" s="1"/>
  <c r="EF136"/>
  <c r="EL135"/>
  <c r="EK135"/>
  <c r="EH135" s="1"/>
  <c r="EL134"/>
  <c r="EK134"/>
  <c r="EL133"/>
  <c r="EK133"/>
  <c r="EG133"/>
  <c r="FV7" i="165"/>
  <c r="EG150" i="129"/>
  <c r="GF150"/>
  <c r="GF149"/>
  <c r="GF148"/>
  <c r="GF147"/>
  <c r="GF146"/>
  <c r="GF145"/>
  <c r="GF144"/>
  <c r="GF143"/>
  <c r="GF142"/>
  <c r="GF141"/>
  <c r="GF140"/>
  <c r="GF139"/>
  <c r="GF138"/>
  <c r="GF137"/>
  <c r="GF136"/>
  <c r="GF135"/>
  <c r="GF134"/>
  <c r="GF133"/>
  <c r="GF178"/>
  <c r="GF177"/>
  <c r="GF176"/>
  <c r="GF175"/>
  <c r="GF174"/>
  <c r="GF173"/>
  <c r="GF172"/>
  <c r="GF171"/>
  <c r="GF170"/>
  <c r="GF169"/>
  <c r="GF168"/>
  <c r="GF167"/>
  <c r="GF166"/>
  <c r="GF165"/>
  <c r="GF164"/>
  <c r="GF163"/>
  <c r="GF162"/>
  <c r="GF161"/>
  <c r="FY12" i="177"/>
  <c r="FY12" i="165"/>
  <c r="FX29"/>
  <c r="FV13"/>
  <c r="FW13"/>
  <c r="FX13"/>
  <c r="FV14"/>
  <c r="FW14"/>
  <c r="FX14"/>
  <c r="FV15"/>
  <c r="FW15"/>
  <c r="FX15"/>
  <c r="FV16"/>
  <c r="FW16"/>
  <c r="FX16"/>
  <c r="FV17"/>
  <c r="FW17"/>
  <c r="FX17"/>
  <c r="FV18"/>
  <c r="FW18"/>
  <c r="FX18"/>
  <c r="FV19"/>
  <c r="FW19"/>
  <c r="FX19"/>
  <c r="FV20"/>
  <c r="FW20"/>
  <c r="FX20"/>
  <c r="FV21"/>
  <c r="FW21"/>
  <c r="FX21"/>
  <c r="FV22"/>
  <c r="FW22"/>
  <c r="FX22"/>
  <c r="FV23"/>
  <c r="FW23"/>
  <c r="FX23"/>
  <c r="FV24"/>
  <c r="FW24"/>
  <c r="FX24"/>
  <c r="FV25"/>
  <c r="FW25"/>
  <c r="FX25"/>
  <c r="FV26"/>
  <c r="FW26"/>
  <c r="FX26"/>
  <c r="FV27"/>
  <c r="FW27"/>
  <c r="FX27"/>
  <c r="FV28"/>
  <c r="FW28"/>
  <c r="FX28"/>
  <c r="FW12"/>
  <c r="FX12"/>
  <c r="FV12"/>
  <c r="FX29" i="177"/>
  <c r="FV13"/>
  <c r="FW13"/>
  <c r="FX13"/>
  <c r="FV14"/>
  <c r="FW14"/>
  <c r="FX14"/>
  <c r="FV15"/>
  <c r="FW15"/>
  <c r="FX15"/>
  <c r="FV16"/>
  <c r="FW16"/>
  <c r="FX16"/>
  <c r="FV17"/>
  <c r="FW17"/>
  <c r="FX17"/>
  <c r="FV18"/>
  <c r="FW18"/>
  <c r="FX18"/>
  <c r="FV19"/>
  <c r="FW19"/>
  <c r="FX19"/>
  <c r="FV20"/>
  <c r="FW20"/>
  <c r="FX20"/>
  <c r="FV21"/>
  <c r="FW21"/>
  <c r="FX21"/>
  <c r="FV22"/>
  <c r="FW22"/>
  <c r="FX22"/>
  <c r="FV23"/>
  <c r="FW23"/>
  <c r="FX23"/>
  <c r="FV24"/>
  <c r="FW24"/>
  <c r="FX24"/>
  <c r="FV25"/>
  <c r="FW25"/>
  <c r="FX25"/>
  <c r="FV26"/>
  <c r="FW26"/>
  <c r="FX26"/>
  <c r="FV27"/>
  <c r="FW27"/>
  <c r="FX27"/>
  <c r="FV28"/>
  <c r="FW28"/>
  <c r="FX28"/>
  <c r="FW12"/>
  <c r="FX12"/>
  <c r="FV12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 s="1"/>
  <c r="R28"/>
  <c r="R27"/>
  <c r="R26"/>
  <c r="R25"/>
  <c r="R24"/>
  <c r="R23"/>
  <c r="R22"/>
  <c r="R21"/>
  <c r="R20"/>
  <c r="R19"/>
  <c r="R18"/>
  <c r="R17"/>
  <c r="R16"/>
  <c r="R15"/>
  <c r="R14"/>
  <c r="R13"/>
  <c r="R12"/>
  <c r="Q28"/>
  <c r="Q27"/>
  <c r="Q26"/>
  <c r="Q25"/>
  <c r="Q24"/>
  <c r="Q23"/>
  <c r="Q22"/>
  <c r="Q21"/>
  <c r="Q20"/>
  <c r="Q19"/>
  <c r="Q18"/>
  <c r="Q17"/>
  <c r="Q16"/>
  <c r="Q15"/>
  <c r="Q14"/>
  <c r="Q13"/>
  <c r="Q12"/>
  <c r="GG178" i="129"/>
  <c r="GG177"/>
  <c r="GG176"/>
  <c r="GG175"/>
  <c r="GG174"/>
  <c r="GG173"/>
  <c r="GG172"/>
  <c r="GG171"/>
  <c r="GG170"/>
  <c r="GG169"/>
  <c r="GG168"/>
  <c r="GG167"/>
  <c r="GG166"/>
  <c r="GG165"/>
  <c r="GG164"/>
  <c r="GG163"/>
  <c r="GG162"/>
  <c r="GG161"/>
  <c r="G201" i="114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E178" i="129"/>
  <c r="GD178"/>
  <c r="BF178"/>
  <c r="BE178"/>
  <c r="AC178"/>
  <c r="GE177"/>
  <c r="GD177"/>
  <c r="BF177"/>
  <c r="BE177"/>
  <c r="AC177"/>
  <c r="GE176"/>
  <c r="GD176"/>
  <c r="BF176"/>
  <c r="BE176"/>
  <c r="AC176"/>
  <c r="AD176" s="1"/>
  <c r="GH176" s="1"/>
  <c r="GE175"/>
  <c r="GD175"/>
  <c r="BF175"/>
  <c r="BE175"/>
  <c r="AC175"/>
  <c r="GE174"/>
  <c r="GD174"/>
  <c r="BF174"/>
  <c r="BE174"/>
  <c r="AC174"/>
  <c r="GE173"/>
  <c r="GD173"/>
  <c r="BF173"/>
  <c r="BE173"/>
  <c r="AC173"/>
  <c r="GE172"/>
  <c r="GD172"/>
  <c r="BF172"/>
  <c r="BE172"/>
  <c r="AC172"/>
  <c r="AD172" s="1"/>
  <c r="GH172" s="1"/>
  <c r="GE171"/>
  <c r="GD171"/>
  <c r="BF171"/>
  <c r="BE171"/>
  <c r="AD171" s="1"/>
  <c r="GH171" s="1"/>
  <c r="GI171" s="1"/>
  <c r="GE170"/>
  <c r="GD170"/>
  <c r="BF170"/>
  <c r="BE170"/>
  <c r="AD170" s="1"/>
  <c r="GH170" s="1"/>
  <c r="GE169"/>
  <c r="GD169"/>
  <c r="BF169"/>
  <c r="BE169"/>
  <c r="AC169"/>
  <c r="AD169" s="1"/>
  <c r="GH169" s="1"/>
  <c r="GE168"/>
  <c r="GD168"/>
  <c r="BF168"/>
  <c r="BE168"/>
  <c r="AC168"/>
  <c r="AD168" s="1"/>
  <c r="GH168" s="1"/>
  <c r="GE167"/>
  <c r="GD167"/>
  <c r="BF167"/>
  <c r="BE167"/>
  <c r="AC167"/>
  <c r="AD167"/>
  <c r="GH167" s="1"/>
  <c r="GE166"/>
  <c r="GD166"/>
  <c r="BF166"/>
  <c r="BE166"/>
  <c r="AC166"/>
  <c r="GE165"/>
  <c r="GD165"/>
  <c r="BF165"/>
  <c r="BE165"/>
  <c r="AC165"/>
  <c r="GE164"/>
  <c r="GD164"/>
  <c r="BF164"/>
  <c r="BE164"/>
  <c r="AC164"/>
  <c r="GE163"/>
  <c r="GD163"/>
  <c r="BF163"/>
  <c r="BE163"/>
  <c r="AD163" s="1"/>
  <c r="GH163" s="1"/>
  <c r="GE162"/>
  <c r="GD162"/>
  <c r="BF162"/>
  <c r="BE162"/>
  <c r="AD162" s="1"/>
  <c r="GH162" s="1"/>
  <c r="GE161"/>
  <c r="GD161"/>
  <c r="BF161"/>
  <c r="BE161"/>
  <c r="AD161"/>
  <c r="GH161" s="1"/>
  <c r="GG150"/>
  <c r="GE150"/>
  <c r="GD150"/>
  <c r="FM150"/>
  <c r="FL150"/>
  <c r="FK150"/>
  <c r="BD150" s="1"/>
  <c r="AC150"/>
  <c r="AD150" s="1"/>
  <c r="GH150" s="1"/>
  <c r="GG149"/>
  <c r="GE149"/>
  <c r="GD149"/>
  <c r="FM149"/>
  <c r="FL149"/>
  <c r="FK149"/>
  <c r="CJ149"/>
  <c r="BG149"/>
  <c r="AC149"/>
  <c r="AD149" s="1"/>
  <c r="GH149" s="1"/>
  <c r="GG148"/>
  <c r="GE148"/>
  <c r="GD148"/>
  <c r="FM148"/>
  <c r="FL148"/>
  <c r="FK148"/>
  <c r="AY148" s="1"/>
  <c r="AC148"/>
  <c r="AD148" s="1"/>
  <c r="GH148" s="1"/>
  <c r="GG147"/>
  <c r="GE147"/>
  <c r="GD147"/>
  <c r="FM147"/>
  <c r="FL147"/>
  <c r="FK147"/>
  <c r="BD147"/>
  <c r="AC147"/>
  <c r="AD147"/>
  <c r="GH147" s="1"/>
  <c r="GG146"/>
  <c r="GE146"/>
  <c r="GD146"/>
  <c r="FM146"/>
  <c r="FL146"/>
  <c r="FK146"/>
  <c r="AW146" s="1"/>
  <c r="BD146"/>
  <c r="AC146"/>
  <c r="AD146" s="1"/>
  <c r="GH146" s="1"/>
  <c r="GG145"/>
  <c r="GE145"/>
  <c r="GD145"/>
  <c r="FM145"/>
  <c r="FL145"/>
  <c r="FK145"/>
  <c r="AC145"/>
  <c r="AD145" s="1"/>
  <c r="GH145" s="1"/>
  <c r="GG144"/>
  <c r="GE144"/>
  <c r="GD144"/>
  <c r="FM144"/>
  <c r="FL144"/>
  <c r="FK144"/>
  <c r="AT144" s="1"/>
  <c r="AC144"/>
  <c r="GG143"/>
  <c r="GE143"/>
  <c r="GD143"/>
  <c r="FM143"/>
  <c r="FL143"/>
  <c r="AD143" s="1"/>
  <c r="GH143" s="1"/>
  <c r="FK143"/>
  <c r="BI143" s="1"/>
  <c r="GG142"/>
  <c r="GE142"/>
  <c r="GD142"/>
  <c r="FM142"/>
  <c r="FL142"/>
  <c r="AD142" s="1"/>
  <c r="GH142" s="1"/>
  <c r="FK142"/>
  <c r="CQ142" s="1"/>
  <c r="GG141"/>
  <c r="GE141"/>
  <c r="GD141"/>
  <c r="FM141"/>
  <c r="FL141"/>
  <c r="FK141"/>
  <c r="AY141" s="1"/>
  <c r="AC141"/>
  <c r="AD141" s="1"/>
  <c r="GH141" s="1"/>
  <c r="GG140"/>
  <c r="GE140"/>
  <c r="GD140"/>
  <c r="FM140"/>
  <c r="FL140"/>
  <c r="FK140"/>
  <c r="DT140"/>
  <c r="AC140"/>
  <c r="AD140"/>
  <c r="GH140" s="1"/>
  <c r="GG139"/>
  <c r="GE139"/>
  <c r="GD139"/>
  <c r="FM139"/>
  <c r="FL139"/>
  <c r="FK139"/>
  <c r="AT139" s="1"/>
  <c r="AC139"/>
  <c r="AD139" s="1"/>
  <c r="GH139" s="1"/>
  <c r="GG138"/>
  <c r="GE138"/>
  <c r="GD138"/>
  <c r="FM138"/>
  <c r="FL138"/>
  <c r="FK138"/>
  <c r="AY138"/>
  <c r="DW138"/>
  <c r="AC138"/>
  <c r="AD138" s="1"/>
  <c r="GH138" s="1"/>
  <c r="GG137"/>
  <c r="GE137"/>
  <c r="GD137"/>
  <c r="FM137"/>
  <c r="FL137"/>
  <c r="FK137"/>
  <c r="BW137" s="1"/>
  <c r="AC137"/>
  <c r="AD137"/>
  <c r="GH137" s="1"/>
  <c r="GG136"/>
  <c r="GE136"/>
  <c r="GD136"/>
  <c r="FM136"/>
  <c r="FL136"/>
  <c r="FK136"/>
  <c r="AT136" s="1"/>
  <c r="AC136"/>
  <c r="AD136" s="1"/>
  <c r="GH136" s="1"/>
  <c r="GI136" s="1"/>
  <c r="GG135"/>
  <c r="GE135"/>
  <c r="GD135"/>
  <c r="FM135"/>
  <c r="FL135"/>
  <c r="AD135" s="1"/>
  <c r="GH135" s="1"/>
  <c r="FK135"/>
  <c r="GG134"/>
  <c r="GE134"/>
  <c r="GD134"/>
  <c r="FM134"/>
  <c r="FL134"/>
  <c r="AD134"/>
  <c r="GH134" s="1"/>
  <c r="FK134"/>
  <c r="AQ134" s="1"/>
  <c r="GG133"/>
  <c r="GE133"/>
  <c r="GD133"/>
  <c r="FM133"/>
  <c r="FL133"/>
  <c r="AD133" s="1"/>
  <c r="GH133" s="1"/>
  <c r="FK133"/>
  <c r="AH133"/>
  <c r="BW133"/>
  <c r="BY133"/>
  <c r="EC6" i="177"/>
  <c r="EC7" i="165"/>
  <c r="EC39"/>
  <c r="CU6" i="177"/>
  <c r="BM6"/>
  <c r="AE6"/>
  <c r="EB44" i="165"/>
  <c r="EA44"/>
  <c r="DZ44"/>
  <c r="DY44"/>
  <c r="DX44"/>
  <c r="DW44"/>
  <c r="DV44"/>
  <c r="DU44"/>
  <c r="DT44"/>
  <c r="DS44"/>
  <c r="DR44"/>
  <c r="DQ44"/>
  <c r="DP44"/>
  <c r="DO44"/>
  <c r="DN44"/>
  <c r="DM44"/>
  <c r="DL44"/>
  <c r="DK44"/>
  <c r="DJ44"/>
  <c r="DI44"/>
  <c r="DH44"/>
  <c r="DG44"/>
  <c r="DF44"/>
  <c r="DE44"/>
  <c r="DD44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X44"/>
  <c r="BW44"/>
  <c r="BV44"/>
  <c r="BU44"/>
  <c r="BT44"/>
  <c r="BS44"/>
  <c r="BR44"/>
  <c r="BQ44"/>
  <c r="BP44"/>
  <c r="BO44"/>
  <c r="BN44"/>
  <c r="BM44"/>
  <c r="BL44"/>
  <c r="BK44"/>
  <c r="BJ44"/>
  <c r="BI44"/>
  <c r="BH44"/>
  <c r="BG44"/>
  <c r="BF44"/>
  <c r="BE44"/>
  <c r="BD44"/>
  <c r="BC44"/>
  <c r="BB44"/>
  <c r="BA44"/>
  <c r="AZ44"/>
  <c r="AY44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CU7"/>
  <c r="BM7"/>
  <c r="AE7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EL44"/>
  <c r="EK44"/>
  <c r="EJ44"/>
  <c r="EI44"/>
  <c r="EH44"/>
  <c r="EG44"/>
  <c r="EF44"/>
  <c r="EE44"/>
  <c r="ED44"/>
  <c r="EC44"/>
  <c r="AQ40" i="202"/>
  <c r="AE40"/>
  <c r="BC40"/>
  <c r="AW40"/>
  <c r="AK40"/>
  <c r="I9"/>
  <c r="FU29" i="177"/>
  <c r="FU28"/>
  <c r="FU27"/>
  <c r="FU26"/>
  <c r="FU25"/>
  <c r="FU24"/>
  <c r="FU23"/>
  <c r="FU20"/>
  <c r="FU19"/>
  <c r="FU18"/>
  <c r="FU17"/>
  <c r="FU16"/>
  <c r="FU15"/>
  <c r="P29"/>
  <c r="P28"/>
  <c r="P27"/>
  <c r="P26"/>
  <c r="P25"/>
  <c r="P24"/>
  <c r="P23"/>
  <c r="P20"/>
  <c r="P19"/>
  <c r="P18"/>
  <c r="P17"/>
  <c r="P16"/>
  <c r="P15"/>
  <c r="AD21" i="165"/>
  <c r="AD22"/>
  <c r="AD14"/>
  <c r="AD13"/>
  <c r="AD12"/>
  <c r="AC29"/>
  <c r="AD29"/>
  <c r="AC28"/>
  <c r="AD28"/>
  <c r="AC27"/>
  <c r="AD27"/>
  <c r="AC26"/>
  <c r="AD26"/>
  <c r="AC25"/>
  <c r="AD25"/>
  <c r="AC24"/>
  <c r="AD24"/>
  <c r="AC23"/>
  <c r="AD23"/>
  <c r="AC20"/>
  <c r="AD20"/>
  <c r="AC19"/>
  <c r="AD19"/>
  <c r="AC18"/>
  <c r="AD18"/>
  <c r="AC17"/>
  <c r="AD17"/>
  <c r="AC16"/>
  <c r="AD16"/>
  <c r="FU19"/>
  <c r="FU18"/>
  <c r="FU17"/>
  <c r="FU16"/>
  <c r="FU15"/>
  <c r="AE39"/>
  <c r="AD29" i="177"/>
  <c r="AD28"/>
  <c r="AD27"/>
  <c r="AD26"/>
  <c r="AD25"/>
  <c r="AD24"/>
  <c r="I7" i="165"/>
  <c r="I10"/>
  <c r="BM39"/>
  <c r="CU39"/>
  <c r="AD23" i="177"/>
  <c r="AD22"/>
  <c r="AD21"/>
  <c r="AD20"/>
  <c r="AD19"/>
  <c r="AD18"/>
  <c r="AD17"/>
  <c r="AD16"/>
  <c r="AD15"/>
  <c r="AD14"/>
  <c r="AD13"/>
  <c r="AD12"/>
  <c r="O5"/>
  <c r="B6" i="118"/>
  <c r="EF133" i="129"/>
  <c r="FJ142"/>
  <c r="ER149"/>
  <c r="ER138"/>
  <c r="EW138"/>
  <c r="ER144"/>
  <c r="EW148"/>
  <c r="ER141"/>
  <c r="EW141"/>
  <c r="AD164"/>
  <c r="GH164" s="1"/>
  <c r="AD174"/>
  <c r="GH174" s="1"/>
  <c r="GI174" s="1"/>
  <c r="AD178"/>
  <c r="GH178" s="1"/>
  <c r="CZ135"/>
  <c r="DR145"/>
  <c r="AK26" i="165"/>
  <c r="AH26" s="1"/>
  <c r="DK26"/>
  <c r="ET26"/>
  <c r="ET26" i="177" s="1"/>
  <c r="AZ26" i="165"/>
  <c r="AX26" s="1"/>
  <c r="AX26" i="177" s="1"/>
  <c r="DV26" i="165"/>
  <c r="DV26" i="177" s="1"/>
  <c r="CC26" i="165"/>
  <c r="BV19"/>
  <c r="BV19" i="177" s="1"/>
  <c r="DQ26" i="165"/>
  <c r="DQ26" i="177" s="1"/>
  <c r="CJ15" i="165"/>
  <c r="CJ15" i="177" s="1"/>
  <c r="DU15" i="165"/>
  <c r="DT15" s="1"/>
  <c r="DT15" i="177" s="1"/>
  <c r="CC15" i="165"/>
  <c r="CA15" s="1"/>
  <c r="CA15" i="177" s="1"/>
  <c r="DA15" i="165"/>
  <c r="EI20"/>
  <c r="EF20" s="1"/>
  <c r="EF20" i="177" s="1"/>
  <c r="BS28" i="165"/>
  <c r="DA28"/>
  <c r="DC28"/>
  <c r="AZ28"/>
  <c r="AU28"/>
  <c r="AT28" s="1"/>
  <c r="AT28" i="177" s="1"/>
  <c r="FE28" i="165"/>
  <c r="FE28" i="177" s="1"/>
  <c r="ES28" i="165"/>
  <c r="DQ28"/>
  <c r="DQ28" i="177" s="1"/>
  <c r="FC28" i="165"/>
  <c r="FB28" s="1"/>
  <c r="FB28" i="177" s="1"/>
  <c r="DU28" i="165"/>
  <c r="DS28"/>
  <c r="DS28" i="177" s="1"/>
  <c r="AK28" i="165"/>
  <c r="BH22"/>
  <c r="BH22" i="177"/>
  <c r="CW15" i="165"/>
  <c r="CW15" i="177" s="1"/>
  <c r="BF28" i="165"/>
  <c r="BF28" i="177" s="1"/>
  <c r="DH14" i="165"/>
  <c r="BU14"/>
  <c r="BS14"/>
  <c r="BP14" s="1"/>
  <c r="BP14" i="177" s="1"/>
  <c r="BV14" i="165"/>
  <c r="BV14" i="177"/>
  <c r="AN14" i="165"/>
  <c r="AN14" i="177" s="1"/>
  <c r="AM14" i="165"/>
  <c r="AJ14" s="1"/>
  <c r="AJ14" i="177" s="1"/>
  <c r="EK14" i="165"/>
  <c r="EH14" s="1"/>
  <c r="EH14" i="177" s="1"/>
  <c r="DD14" i="165"/>
  <c r="DD14" i="177"/>
  <c r="EI14" i="165"/>
  <c r="EE14"/>
  <c r="EE14" i="177" s="1"/>
  <c r="AK14" i="165"/>
  <c r="DA14"/>
  <c r="DA14" i="177" s="1"/>
  <c r="FC15" i="165"/>
  <c r="FB15" s="1"/>
  <c r="FB15" i="177" s="1"/>
  <c r="DC15" i="165"/>
  <c r="DV15"/>
  <c r="DV15" i="177" s="1"/>
  <c r="CN15" i="165"/>
  <c r="CN15" i="177" s="1"/>
  <c r="BE15" i="165"/>
  <c r="BC15" s="1"/>
  <c r="BC15" i="177" s="1"/>
  <c r="AK15" i="165"/>
  <c r="DL15"/>
  <c r="DL15" i="177" s="1"/>
  <c r="EM15" i="165"/>
  <c r="EM15" i="177" s="1"/>
  <c r="EY15" i="165"/>
  <c r="EY15" i="177" s="1"/>
  <c r="ES15" i="165"/>
  <c r="EX15"/>
  <c r="EW15" s="1"/>
  <c r="EW15" i="177" s="1"/>
  <c r="AM15" i="165"/>
  <c r="AU15"/>
  <c r="AU15" i="177"/>
  <c r="AZ15" i="165"/>
  <c r="CI15"/>
  <c r="CI15" i="177" s="1"/>
  <c r="EL15" i="165"/>
  <c r="EL15" i="177" s="1"/>
  <c r="DK15" i="165"/>
  <c r="DI15" s="1"/>
  <c r="DI15" i="177" s="1"/>
  <c r="CH15" i="165"/>
  <c r="CN17"/>
  <c r="CN17" i="177" s="1"/>
  <c r="EY17" i="165"/>
  <c r="EY17" i="177" s="1"/>
  <c r="EI17" i="165"/>
  <c r="ED17" s="1"/>
  <c r="ED17" i="177" s="1"/>
  <c r="DL26" i="165"/>
  <c r="DL26" i="177"/>
  <c r="DR26" i="165"/>
  <c r="DR26" i="177"/>
  <c r="FC26" i="165"/>
  <c r="CD26"/>
  <c r="CD26" i="177" s="1"/>
  <c r="FE26" i="165"/>
  <c r="FE26" i="177" s="1"/>
  <c r="DW26" i="165"/>
  <c r="DW26" i="177" s="1"/>
  <c r="CN26" i="165"/>
  <c r="CN26" i="177" s="1"/>
  <c r="CH26" i="165"/>
  <c r="DM26"/>
  <c r="DM26" i="177" s="1"/>
  <c r="BS26" i="165"/>
  <c r="AM26"/>
  <c r="BF26"/>
  <c r="BF26" i="177"/>
  <c r="CJ26" i="165"/>
  <c r="CJ26" i="177" s="1"/>
  <c r="DC26" i="165"/>
  <c r="CY26" s="1"/>
  <c r="CY26" i="177" s="1"/>
  <c r="CE26" i="165"/>
  <c r="CE26" i="177" s="1"/>
  <c r="ES26" i="165"/>
  <c r="EQ26" s="1"/>
  <c r="EQ26" i="177" s="1"/>
  <c r="DP26" i="165"/>
  <c r="DN26" s="1"/>
  <c r="DN26" i="177" s="1"/>
  <c r="AU26" i="165"/>
  <c r="AV26"/>
  <c r="AV26" i="177"/>
  <c r="DU26" i="165"/>
  <c r="EL26"/>
  <c r="EL26" i="177" s="1"/>
  <c r="EM26" i="165"/>
  <c r="EM26" i="177" s="1"/>
  <c r="DC14" i="165"/>
  <c r="DC14" i="177" s="1"/>
  <c r="DK19" i="165"/>
  <c r="DI19"/>
  <c r="DI19" i="177" s="1"/>
  <c r="DL19" i="165"/>
  <c r="DL19" i="177" s="1"/>
  <c r="AK19" i="165"/>
  <c r="AU19"/>
  <c r="AU19" i="177"/>
  <c r="AZ19" i="165"/>
  <c r="AY19" s="1"/>
  <c r="AY19" i="177" s="1"/>
  <c r="BE19" i="165"/>
  <c r="BD19" s="1"/>
  <c r="BD19" i="177" s="1"/>
  <c r="BU19" i="165"/>
  <c r="BQ19"/>
  <c r="BQ19" i="177" s="1"/>
  <c r="CN19" i="165"/>
  <c r="CN19" i="177" s="1"/>
  <c r="DK23" i="165"/>
  <c r="EI23"/>
  <c r="EC23" s="1"/>
  <c r="EC23" i="177" s="1"/>
  <c r="CJ23" i="165"/>
  <c r="CJ23" i="177" s="1"/>
  <c r="AK23" i="165"/>
  <c r="AH23" s="1"/>
  <c r="AH23" i="177" s="1"/>
  <c r="BF23" i="165"/>
  <c r="BF23" i="177"/>
  <c r="AV23" i="165"/>
  <c r="AV23" i="177" s="1"/>
  <c r="CH23" i="165"/>
  <c r="CF23" s="1"/>
  <c r="CF23" i="177" s="1"/>
  <c r="CI23" i="165"/>
  <c r="CI23" i="177" s="1"/>
  <c r="EY23" i="165"/>
  <c r="EY23" i="177" s="1"/>
  <c r="DV23" i="165"/>
  <c r="DV23" i="177" s="1"/>
  <c r="DP23" i="165"/>
  <c r="DN23" s="1"/>
  <c r="DN23" i="177" s="1"/>
  <c r="CD23" i="165"/>
  <c r="CD23" i="177"/>
  <c r="BE23" i="165"/>
  <c r="BE23" i="177"/>
  <c r="AU23" i="165"/>
  <c r="AS23" s="1"/>
  <c r="AS23" i="177" s="1"/>
  <c r="DM23" i="165"/>
  <c r="DM23" i="177" s="1"/>
  <c r="EX23" i="165"/>
  <c r="EW23" s="1"/>
  <c r="EW23" i="177" s="1"/>
  <c r="DA23" i="165"/>
  <c r="FC23"/>
  <c r="DL23"/>
  <c r="DL23" i="177" s="1"/>
  <c r="DC23" i="165"/>
  <c r="CO23"/>
  <c r="CO23" i="177" s="1"/>
  <c r="EM23" i="165"/>
  <c r="EM23" i="177" s="1"/>
  <c r="BG23" i="165"/>
  <c r="BG23" i="177" s="1"/>
  <c r="DW23" i="165"/>
  <c r="DW23" i="177" s="1"/>
  <c r="CM23" i="165"/>
  <c r="CL23" s="1"/>
  <c r="CL23" i="177" s="1"/>
  <c r="ES23" i="165"/>
  <c r="AR14"/>
  <c r="BZ14"/>
  <c r="EP14"/>
  <c r="FC16"/>
  <c r="EK16"/>
  <c r="BS16"/>
  <c r="EY16"/>
  <c r="EY16" i="177" s="1"/>
  <c r="CC16" i="165"/>
  <c r="FD16"/>
  <c r="FD16" i="177" s="1"/>
  <c r="CI16" i="165"/>
  <c r="CI16" i="177" s="1"/>
  <c r="DQ16" i="165"/>
  <c r="DQ16" i="177" s="1"/>
  <c r="DV16" i="165"/>
  <c r="DV16" i="177" s="1"/>
  <c r="BU16" i="165"/>
  <c r="BR16" s="1"/>
  <c r="BR16" i="177" s="1"/>
  <c r="EZ16" i="165"/>
  <c r="EZ16" i="177" s="1"/>
  <c r="CD16" i="165"/>
  <c r="CD16" i="177" s="1"/>
  <c r="CM16" i="165"/>
  <c r="EI16"/>
  <c r="DP16"/>
  <c r="DU16"/>
  <c r="CC18"/>
  <c r="DK18"/>
  <c r="CJ18"/>
  <c r="CJ18" i="177" s="1"/>
  <c r="BU18" i="165"/>
  <c r="BR18" s="1"/>
  <c r="BR18" i="177" s="1"/>
  <c r="BS25" i="165"/>
  <c r="BS25" i="177"/>
  <c r="DK25" i="165"/>
  <c r="DI25"/>
  <c r="DI25" i="177" s="1"/>
  <c r="CM25" i="165"/>
  <c r="DA25"/>
  <c r="EZ25"/>
  <c r="EZ25" i="177" s="1"/>
  <c r="ES25" i="165"/>
  <c r="FC25"/>
  <c r="CI25"/>
  <c r="CI25" i="177" s="1"/>
  <c r="EY25" i="165"/>
  <c r="EY25" i="177" s="1"/>
  <c r="CN25" i="165"/>
  <c r="CN25" i="177" s="1"/>
  <c r="ET25" i="165"/>
  <c r="ET25" i="177" s="1"/>
  <c r="DP25" i="165"/>
  <c r="CO25"/>
  <c r="CO25" i="177"/>
  <c r="BV25" i="165"/>
  <c r="BV25" i="177"/>
  <c r="DW27" i="165"/>
  <c r="DW27" i="177"/>
  <c r="DU27" i="165"/>
  <c r="DT27"/>
  <c r="DT27" i="177" s="1"/>
  <c r="CI20" i="165"/>
  <c r="CI20" i="177" s="1"/>
  <c r="EY20" i="165"/>
  <c r="EY20" i="177" s="1"/>
  <c r="CH20" i="165"/>
  <c r="CH20" i="177" s="1"/>
  <c r="DQ20" i="165"/>
  <c r="DQ20" i="177" s="1"/>
  <c r="EK20" i="165"/>
  <c r="DP20"/>
  <c r="DM20"/>
  <c r="DM20" i="177" s="1"/>
  <c r="FD20" i="165"/>
  <c r="FD20" i="177" s="1"/>
  <c r="DC20" i="165"/>
  <c r="DA29"/>
  <c r="CX29" s="1"/>
  <c r="CX29" i="177" s="1"/>
  <c r="EZ29" i="165"/>
  <c r="EZ29" i="177" s="1"/>
  <c r="DP29" i="165"/>
  <c r="DO29" s="1"/>
  <c r="DO29" i="177" s="1"/>
  <c r="DC29" i="165"/>
  <c r="CZ29" s="1"/>
  <c r="CZ29" i="177" s="1"/>
  <c r="CH29" i="165"/>
  <c r="CF29" s="1"/>
  <c r="CF29" i="177" s="1"/>
  <c r="DU29" i="165"/>
  <c r="DS29"/>
  <c r="DS29" i="177" s="1"/>
  <c r="FF21" i="165"/>
  <c r="FF21" i="177" s="1"/>
  <c r="DX21" i="165"/>
  <c r="DX21" i="177" s="1"/>
  <c r="CP21" i="165"/>
  <c r="CP21" i="177" s="1"/>
  <c r="CC24" i="165"/>
  <c r="DR24"/>
  <c r="DR24" i="177"/>
  <c r="FD24" i="165"/>
  <c r="FD24" i="177" s="1"/>
  <c r="AZ24" i="165"/>
  <c r="BE24"/>
  <c r="BC24" s="1"/>
  <c r="BC24" i="177" s="1"/>
  <c r="EI24" i="165"/>
  <c r="EE24"/>
  <c r="EE24" i="177" s="1"/>
  <c r="DV24" i="165"/>
  <c r="DV24" i="177" s="1"/>
  <c r="CE24" i="165"/>
  <c r="CE24" i="177" s="1"/>
  <c r="ES24" i="165"/>
  <c r="EQ24" s="1"/>
  <c r="EQ24" i="177" s="1"/>
  <c r="EL24" i="165"/>
  <c r="EL24" i="177" s="1"/>
  <c r="DC24" i="165"/>
  <c r="CZ24" s="1"/>
  <c r="CZ24" i="177" s="1"/>
  <c r="ET24" i="165"/>
  <c r="ET24" i="177" s="1"/>
  <c r="AU24" i="165"/>
  <c r="AT24" s="1"/>
  <c r="AT24" i="177" s="1"/>
  <c r="DW24" i="165"/>
  <c r="DW24" i="177" s="1"/>
  <c r="DM24" i="165"/>
  <c r="DM24" i="177" s="1"/>
  <c r="CD24" i="165"/>
  <c r="CD24" i="177" s="1"/>
  <c r="EY24" i="165"/>
  <c r="EY24" i="177" s="1"/>
  <c r="DK24" i="165"/>
  <c r="DJ24" s="1"/>
  <c r="DJ24" i="177" s="1"/>
  <c r="DP24" i="165"/>
  <c r="AM24"/>
  <c r="AJ24"/>
  <c r="AJ24" i="177" s="1"/>
  <c r="AV24" i="165"/>
  <c r="AV24" i="177" s="1"/>
  <c r="EX24" i="165"/>
  <c r="CM24"/>
  <c r="CL24" s="1"/>
  <c r="CL24" i="177" s="1"/>
  <c r="EM24" i="165"/>
  <c r="EM24" i="177" s="1"/>
  <c r="CJ24" i="165"/>
  <c r="CJ24" i="177" s="1"/>
  <c r="DU24" i="165"/>
  <c r="DT24" s="1"/>
  <c r="DT24" i="177" s="1"/>
  <c r="BS24" i="165"/>
  <c r="DQ24"/>
  <c r="DQ24" i="177" s="1"/>
  <c r="AK24" i="165"/>
  <c r="AF24" s="1"/>
  <c r="AF24" i="177" s="1"/>
  <c r="BF24" i="165"/>
  <c r="BF24" i="177" s="1"/>
  <c r="BU24" i="165"/>
  <c r="BQ24" s="1"/>
  <c r="BQ24" i="177" s="1"/>
  <c r="CH24" i="165"/>
  <c r="CH24" i="177" s="1"/>
  <c r="DA24" i="165"/>
  <c r="CU24" s="1"/>
  <c r="CU24" i="177" s="1"/>
  <c r="CN24" i="165"/>
  <c r="CN24" i="177" s="1"/>
  <c r="DL24" i="165"/>
  <c r="DL24" i="177" s="1"/>
  <c r="FC24" i="165"/>
  <c r="FB24" s="1"/>
  <c r="FB24" i="177" s="1"/>
  <c r="EK24" i="165"/>
  <c r="EH24" s="1"/>
  <c r="EH24" i="177" s="1"/>
  <c r="FE24" i="165"/>
  <c r="FE24" i="177"/>
  <c r="BA24" i="165"/>
  <c r="BA24" i="177"/>
  <c r="CI24" i="165"/>
  <c r="CI24" i="177"/>
  <c r="CB15" i="165"/>
  <c r="CB15" i="177"/>
  <c r="CC15"/>
  <c r="DJ26" i="165"/>
  <c r="DJ26" i="177" s="1"/>
  <c r="DI26" i="165"/>
  <c r="DI26" i="177" s="1"/>
  <c r="DK26"/>
  <c r="EL13" i="165"/>
  <c r="DE13"/>
  <c r="AY26"/>
  <c r="AY26" i="177"/>
  <c r="CC26"/>
  <c r="AO13" i="165"/>
  <c r="AZ26" i="177"/>
  <c r="DP29"/>
  <c r="DN16" i="165"/>
  <c r="DN16" i="177"/>
  <c r="DO16" i="165"/>
  <c r="DO16" i="177"/>
  <c r="DP16"/>
  <c r="BP26" i="165"/>
  <c r="BP26" i="177" s="1"/>
  <c r="BO26" i="165"/>
  <c r="BO26" i="177" s="1"/>
  <c r="EV15" i="165"/>
  <c r="EV15" i="177" s="1"/>
  <c r="EK14"/>
  <c r="EH20" i="165"/>
  <c r="EH20" i="177" s="1"/>
  <c r="ER25" i="165"/>
  <c r="ER25" i="177" s="1"/>
  <c r="CL16" i="165"/>
  <c r="CL16" i="177" s="1"/>
  <c r="CK16" i="165"/>
  <c r="CK16" i="177" s="1"/>
  <c r="CM16"/>
  <c r="ER23" i="165"/>
  <c r="ER23" i="177" s="1"/>
  <c r="CY23" i="165"/>
  <c r="CY23" i="177" s="1"/>
  <c r="DC23"/>
  <c r="CZ23" i="165"/>
  <c r="CZ23" i="177" s="1"/>
  <c r="AE19" i="165"/>
  <c r="AE19" i="177" s="1"/>
  <c r="AK19"/>
  <c r="ES26"/>
  <c r="DK15"/>
  <c r="DJ15" i="165"/>
  <c r="DJ15" i="177" s="1"/>
  <c r="CZ15" i="165"/>
  <c r="CZ15" i="177" s="1"/>
  <c r="CY15" i="165"/>
  <c r="CY15" i="177" s="1"/>
  <c r="DC15"/>
  <c r="CX28" i="165"/>
  <c r="CX28" i="177"/>
  <c r="CV28" i="165"/>
  <c r="CV28" i="177"/>
  <c r="DA28"/>
  <c r="CW28" i="165"/>
  <c r="CW28" i="177" s="1"/>
  <c r="CU28" i="165"/>
  <c r="CU28" i="177" s="1"/>
  <c r="DS27" i="165"/>
  <c r="DS27" i="177" s="1"/>
  <c r="CW25" i="165"/>
  <c r="CW25" i="177" s="1"/>
  <c r="CX25" i="165"/>
  <c r="CX25" i="177" s="1"/>
  <c r="CU25" i="165"/>
  <c r="CU25" i="177" s="1"/>
  <c r="CV25" i="165"/>
  <c r="CV25" i="177" s="1"/>
  <c r="DA25"/>
  <c r="CB16" i="165"/>
  <c r="CB16" i="177" s="1"/>
  <c r="BD23" i="165"/>
  <c r="BD23" i="177" s="1"/>
  <c r="BC23" i="165"/>
  <c r="BC23" i="177" s="1"/>
  <c r="BU19"/>
  <c r="BE19"/>
  <c r="AS19" i="165"/>
  <c r="AS19" i="177" s="1"/>
  <c r="AT19" i="165"/>
  <c r="AT19" i="177" s="1"/>
  <c r="CZ14" i="165"/>
  <c r="CZ14" i="177" s="1"/>
  <c r="CY14" i="165"/>
  <c r="CY14" i="177" s="1"/>
  <c r="DP26"/>
  <c r="DO26" i="165"/>
  <c r="DO26" i="177" s="1"/>
  <c r="CZ26" i="165"/>
  <c r="CZ26" i="177" s="1"/>
  <c r="DC26"/>
  <c r="CF26" i="165"/>
  <c r="CF26" i="177" s="1"/>
  <c r="CG26" i="165"/>
  <c r="CG26" i="177" s="1"/>
  <c r="CH26"/>
  <c r="FB26" i="165"/>
  <c r="FB26" i="177" s="1"/>
  <c r="EE17" i="165"/>
  <c r="EE17" i="177" s="1"/>
  <c r="EI14"/>
  <c r="EF14" i="165"/>
  <c r="EF14" i="177" s="1"/>
  <c r="BU14"/>
  <c r="BR14" i="165"/>
  <c r="BR14" i="177" s="1"/>
  <c r="BQ14" i="165"/>
  <c r="BQ14" i="177" s="1"/>
  <c r="AX28" i="165"/>
  <c r="AX28" i="177" s="1"/>
  <c r="AZ28"/>
  <c r="AY28" i="165"/>
  <c r="AY28" i="177"/>
  <c r="CV29" i="165"/>
  <c r="CV29" i="177"/>
  <c r="CG20" i="165"/>
  <c r="CG20" i="177"/>
  <c r="DP23"/>
  <c r="DO23" i="165"/>
  <c r="DO23" i="177" s="1"/>
  <c r="EF23" i="165"/>
  <c r="EF23" i="177" s="1"/>
  <c r="EI23"/>
  <c r="EE23" i="165"/>
  <c r="EE23" i="177"/>
  <c r="AX19" i="165"/>
  <c r="AX19" i="177"/>
  <c r="AZ19"/>
  <c r="CX14" i="165"/>
  <c r="CX14" i="177" s="1"/>
  <c r="BS14"/>
  <c r="BO14" i="165"/>
  <c r="BO14" i="177" s="1"/>
  <c r="EQ28" i="165"/>
  <c r="EQ28" i="177" s="1"/>
  <c r="CK25" i="165"/>
  <c r="CK25" i="177" s="1"/>
  <c r="CL25" i="165"/>
  <c r="CL25" i="177" s="1"/>
  <c r="CM25"/>
  <c r="CC18"/>
  <c r="EV23" i="165"/>
  <c r="EV23" i="177" s="1"/>
  <c r="DS26" i="165"/>
  <c r="DS26" i="177" s="1"/>
  <c r="AX15" i="165"/>
  <c r="AX15" i="177" s="1"/>
  <c r="AZ15"/>
  <c r="AY15" i="165"/>
  <c r="AY15" i="177" s="1"/>
  <c r="FA28" i="165"/>
  <c r="FA28" i="177" s="1"/>
  <c r="CH29"/>
  <c r="CY20" i="165"/>
  <c r="CY20" i="177" s="1"/>
  <c r="DO20" i="165"/>
  <c r="DO20" i="177" s="1"/>
  <c r="DI18" i="165"/>
  <c r="DI18" i="177" s="1"/>
  <c r="DK18"/>
  <c r="DJ18" i="165"/>
  <c r="DJ18" i="177" s="1"/>
  <c r="EE16" i="165"/>
  <c r="EE16" i="177" s="1"/>
  <c r="ED16" i="165"/>
  <c r="ED16" i="177" s="1"/>
  <c r="AT23" i="165"/>
  <c r="AT23" i="177" s="1"/>
  <c r="CH23"/>
  <c r="AT26" i="165"/>
  <c r="AT26" i="177" s="1"/>
  <c r="AU26"/>
  <c r="AS26" i="165"/>
  <c r="AS26" i="177" s="1"/>
  <c r="CF15" i="165"/>
  <c r="CF15" i="177" s="1"/>
  <c r="CG15" i="165"/>
  <c r="CG15" i="177" s="1"/>
  <c r="CH15"/>
  <c r="AG15" i="165"/>
  <c r="AG15" i="177"/>
  <c r="AE15" i="165"/>
  <c r="AE15" i="177"/>
  <c r="AF15" i="165"/>
  <c r="AF15" i="177"/>
  <c r="AH15" i="165"/>
  <c r="AH15" i="177"/>
  <c r="AK15"/>
  <c r="AK14"/>
  <c r="AM14"/>
  <c r="AI14" i="165"/>
  <c r="AI14" i="177" s="1"/>
  <c r="AF28" i="165"/>
  <c r="AF28" i="177" s="1"/>
  <c r="AG28" i="165"/>
  <c r="AG28" i="177" s="1"/>
  <c r="AK28"/>
  <c r="AE28" i="165"/>
  <c r="AE28" i="177" s="1"/>
  <c r="AH28" i="165"/>
  <c r="AH28" i="177" s="1"/>
  <c r="FA24" i="165"/>
  <c r="FA24" i="177" s="1"/>
  <c r="DN24" i="165"/>
  <c r="DN24" i="177" s="1"/>
  <c r="BM24" i="165"/>
  <c r="BM24" i="177" s="1"/>
  <c r="BS24"/>
  <c r="AY24" i="165"/>
  <c r="AY24" i="177" s="1"/>
  <c r="DI24" i="165"/>
  <c r="DI24" i="177" s="1"/>
  <c r="DK24"/>
  <c r="DC24"/>
  <c r="EI24"/>
  <c r="ED24" i="165"/>
  <c r="ED24" i="177" s="1"/>
  <c r="DT138" i="129"/>
  <c r="DO138"/>
  <c r="DJ138"/>
  <c r="CV139"/>
  <c r="DO141"/>
  <c r="DM144"/>
  <c r="CV145"/>
  <c r="DT146"/>
  <c r="DJ146"/>
  <c r="DT150"/>
  <c r="DJ150"/>
  <c r="EM133"/>
  <c r="ED146"/>
  <c r="ED138"/>
  <c r="ED135"/>
  <c r="ED133"/>
  <c r="CV133"/>
  <c r="CV135"/>
  <c r="CX135"/>
  <c r="DJ136"/>
  <c r="CA18" i="165"/>
  <c r="CA18" i="177" s="1"/>
  <c r="CB18" i="165"/>
  <c r="CB18" i="177" s="1"/>
  <c r="FB16" i="165"/>
  <c r="FB16" i="177" s="1"/>
  <c r="FA16" i="165"/>
  <c r="FA16" i="177" s="1"/>
  <c r="CX23" i="165"/>
  <c r="CX23" i="177" s="1"/>
  <c r="CU23" i="165"/>
  <c r="CU23" i="177" s="1"/>
  <c r="CV23" i="165"/>
  <c r="CV23" i="177" s="1"/>
  <c r="DN29" i="165"/>
  <c r="DN29" i="177" s="1"/>
  <c r="FC23"/>
  <c r="FB23" i="165"/>
  <c r="FB23" i="177" s="1"/>
  <c r="BU24"/>
  <c r="AX24" i="165"/>
  <c r="AX24" i="177"/>
  <c r="AZ24"/>
  <c r="CB24" i="165"/>
  <c r="CB24" i="177" s="1"/>
  <c r="CA16" i="165"/>
  <c r="CA16" i="177" s="1"/>
  <c r="CC16"/>
  <c r="CK23" i="165"/>
  <c r="CK23" i="177" s="1"/>
  <c r="ER24" i="165"/>
  <c r="ER24" i="177" s="1"/>
  <c r="CG23" i="165"/>
  <c r="CG23" i="177" s="1"/>
  <c r="FA23" i="165"/>
  <c r="FA23" i="177" s="1"/>
  <c r="FC16"/>
  <c r="BD15" i="165"/>
  <c r="BD15" i="177" s="1"/>
  <c r="BC19" i="165"/>
  <c r="BC19" i="177" s="1"/>
  <c r="EX15"/>
  <c r="DS15" i="165"/>
  <c r="DS15" i="177" s="1"/>
  <c r="AG23" i="165"/>
  <c r="AG23" i="177" s="1"/>
  <c r="AE23" i="165"/>
  <c r="AE23" i="177" s="1"/>
  <c r="AS15" i="165"/>
  <c r="AS15" i="177" s="1"/>
  <c r="AT15" i="165"/>
  <c r="AT15" i="177" s="1"/>
  <c r="BP28" i="165"/>
  <c r="BP28" i="177" s="1"/>
  <c r="BO28" i="165"/>
  <c r="BO28" i="177" s="1"/>
  <c r="DS24" i="165"/>
  <c r="DS24" i="177" s="1"/>
  <c r="BV13" i="165"/>
  <c r="CW24"/>
  <c r="CW24" i="177" s="1"/>
  <c r="BN24" i="165"/>
  <c r="BN24" i="177" s="1"/>
  <c r="BP24" i="165"/>
  <c r="BP24" i="177" s="1"/>
  <c r="BO24" i="165"/>
  <c r="BO24" i="177" s="1"/>
  <c r="EC24" i="165"/>
  <c r="EC24" i="177" s="1"/>
  <c r="EC16" i="165"/>
  <c r="EC16" i="177" s="1"/>
  <c r="EI16"/>
  <c r="EF16" i="165"/>
  <c r="EF16" i="177" s="1"/>
  <c r="DU26"/>
  <c r="DT26" i="165"/>
  <c r="DT26" i="177"/>
  <c r="FC26"/>
  <c r="FA26" i="165"/>
  <c r="FA26" i="177" s="1"/>
  <c r="AF23" i="165"/>
  <c r="AF23" i="177" s="1"/>
  <c r="CW23" i="165"/>
  <c r="CW23" i="177" s="1"/>
  <c r="FC15"/>
  <c r="AU23"/>
  <c r="AK23"/>
  <c r="CM23"/>
  <c r="DK25"/>
  <c r="BE15"/>
  <c r="DA23"/>
  <c r="ER26" i="165"/>
  <c r="ER26" i="177" s="1"/>
  <c r="FA15" i="165"/>
  <c r="FA15" i="177" s="1"/>
  <c r="DU15"/>
  <c r="CM24"/>
  <c r="DO25" i="165"/>
  <c r="DO25" i="177" s="1"/>
  <c r="DP25"/>
  <c r="DN25" i="165"/>
  <c r="DN25" i="177" s="1"/>
  <c r="AI24" i="165"/>
  <c r="AI24" i="177" s="1"/>
  <c r="EQ15" i="165"/>
  <c r="EQ15" i="177" s="1"/>
  <c r="ES15"/>
  <c r="ER15" i="165"/>
  <c r="ER15" i="177"/>
  <c r="CU29" i="165"/>
  <c r="CU29" i="177"/>
  <c r="EQ25" i="165"/>
  <c r="EQ25" i="177"/>
  <c r="ES25"/>
  <c r="DT16" i="165"/>
  <c r="DT16" i="177" s="1"/>
  <c r="AI26" i="165"/>
  <c r="AI26" i="177" s="1"/>
  <c r="AJ26" i="165"/>
  <c r="AJ26" i="177" s="1"/>
  <c r="AM26"/>
  <c r="AG14" i="165"/>
  <c r="AG14" i="177" s="1"/>
  <c r="AH14" i="165"/>
  <c r="AH14" i="177" s="1"/>
  <c r="DT28" i="165"/>
  <c r="DT28" i="177" s="1"/>
  <c r="DU28"/>
  <c r="CZ28" i="165"/>
  <c r="CZ28" i="177" s="1"/>
  <c r="DC28"/>
  <c r="CY28" i="165"/>
  <c r="CY28" i="177"/>
  <c r="CA26" i="165"/>
  <c r="CA26" i="177"/>
  <c r="CB26" i="165"/>
  <c r="CB26" i="177"/>
  <c r="DT29" i="165"/>
  <c r="DT29" i="177" s="1"/>
  <c r="BM25" i="165"/>
  <c r="BM25" i="177" s="1"/>
  <c r="BP25" i="165"/>
  <c r="BP25" i="177" s="1"/>
  <c r="AH26"/>
  <c r="AE26" i="165"/>
  <c r="AE26" i="177" s="1"/>
  <c r="AG26" i="165"/>
  <c r="AG26" i="177" s="1"/>
  <c r="CY24" i="165"/>
  <c r="CY24" i="177" s="1"/>
  <c r="CY29" i="165"/>
  <c r="CY29" i="177" s="1"/>
  <c r="EE20" i="165"/>
  <c r="EE20" i="177" s="1"/>
  <c r="BM16" i="165"/>
  <c r="BM16" i="177" s="1"/>
  <c r="BO16" i="165"/>
  <c r="BO16" i="177" s="1"/>
  <c r="BP16" i="165"/>
  <c r="BP16" i="177" s="1"/>
  <c r="BS16"/>
  <c r="BN16" i="165"/>
  <c r="BN16" i="177" s="1"/>
  <c r="ES23"/>
  <c r="EQ23" i="165"/>
  <c r="EQ23" i="177" s="1"/>
  <c r="BN25" i="165"/>
  <c r="BN25" i="177" s="1"/>
  <c r="CF24" i="165"/>
  <c r="CF24" i="177" s="1"/>
  <c r="EX24"/>
  <c r="BE24"/>
  <c r="ED23" i="165"/>
  <c r="ED23" i="177" s="1"/>
  <c r="DJ25" i="165"/>
  <c r="DJ25" i="177" s="1"/>
  <c r="DK19"/>
  <c r="FC25"/>
  <c r="AK24"/>
  <c r="AH24" i="165"/>
  <c r="AH24" i="177" s="1"/>
  <c r="EX23"/>
  <c r="CW14" i="165"/>
  <c r="CW14" i="177" s="1"/>
  <c r="CZ148" i="129"/>
  <c r="EU140"/>
  <c r="CV150"/>
  <c r="EU146"/>
  <c r="DO150"/>
  <c r="DJ144"/>
  <c r="DT144"/>
  <c r="CZ133"/>
  <c r="FB150"/>
  <c r="EZ141"/>
  <c r="FB148"/>
  <c r="FB144"/>
  <c r="EG139"/>
  <c r="ED150"/>
  <c r="EW150"/>
  <c r="FG142"/>
  <c r="CV137"/>
  <c r="DW150"/>
  <c r="DT148"/>
  <c r="DT147"/>
  <c r="EZ138"/>
  <c r="FE144"/>
  <c r="DM146"/>
  <c r="EG145"/>
  <c r="CY147"/>
  <c r="EH137"/>
  <c r="EL136"/>
  <c r="EM136" s="1"/>
  <c r="FS136" s="1"/>
  <c r="BQ138"/>
  <c r="EL144"/>
  <c r="BQ150"/>
  <c r="CY136"/>
  <c r="FE146"/>
  <c r="CY137"/>
  <c r="DM147"/>
  <c r="DR141"/>
  <c r="BR148"/>
  <c r="CJ141"/>
  <c r="CO150"/>
  <c r="BR133"/>
  <c r="ED148"/>
  <c r="FE136"/>
  <c r="DO148"/>
  <c r="ER148"/>
  <c r="DR140"/>
  <c r="EZ139"/>
  <c r="DM137"/>
  <c r="FE139"/>
  <c r="EZ140"/>
  <c r="CX133"/>
  <c r="ED136"/>
  <c r="ED141"/>
  <c r="CV148"/>
  <c r="DR147"/>
  <c r="DJ141"/>
  <c r="CZ144"/>
  <c r="FB136"/>
  <c r="FB141"/>
  <c r="DG133"/>
  <c r="DW136"/>
  <c r="DW140"/>
  <c r="DR149"/>
  <c r="EG136"/>
  <c r="DM150"/>
  <c r="EU139"/>
  <c r="DO136"/>
  <c r="DM141"/>
  <c r="EW136"/>
  <c r="EZ136"/>
  <c r="EZ146"/>
  <c r="DJ148"/>
  <c r="DG134"/>
  <c r="ER137"/>
  <c r="EO134"/>
  <c r="DE134"/>
  <c r="CV147"/>
  <c r="DT136"/>
  <c r="CV136"/>
  <c r="ED147"/>
  <c r="DM149"/>
  <c r="DO146"/>
  <c r="CV141"/>
  <c r="DT141"/>
  <c r="GI161"/>
  <c r="CJ138"/>
  <c r="CG138"/>
  <c r="BN138"/>
  <c r="CE139"/>
  <c r="BN139"/>
  <c r="CL140"/>
  <c r="CO141"/>
  <c r="CL141"/>
  <c r="CG141"/>
  <c r="CE141"/>
  <c r="CB141"/>
  <c r="BN141"/>
  <c r="CT142"/>
  <c r="CG144"/>
  <c r="CE144"/>
  <c r="CO145"/>
  <c r="CL145"/>
  <c r="CB145"/>
  <c r="BN145"/>
  <c r="CL146"/>
  <c r="CG146"/>
  <c r="CE146"/>
  <c r="CB146"/>
  <c r="CO147"/>
  <c r="CL147"/>
  <c r="CB147"/>
  <c r="CL148"/>
  <c r="CG148"/>
  <c r="CE148"/>
  <c r="CB148"/>
  <c r="BN148"/>
  <c r="CL149"/>
  <c r="CB149"/>
  <c r="CL150"/>
  <c r="CG150"/>
  <c r="CB150"/>
  <c r="BN150"/>
  <c r="EZ144"/>
  <c r="EU145"/>
  <c r="FE149"/>
  <c r="EU150"/>
  <c r="DR138"/>
  <c r="DY142"/>
  <c r="DW145"/>
  <c r="DR148"/>
  <c r="BN133"/>
  <c r="BP133"/>
  <c r="BP134"/>
  <c r="BW134"/>
  <c r="BN135"/>
  <c r="BP135"/>
  <c r="BN136"/>
  <c r="CB136"/>
  <c r="CE136"/>
  <c r="CG136"/>
  <c r="CJ136"/>
  <c r="CL136"/>
  <c r="CG137"/>
  <c r="EZ148"/>
  <c r="DD138"/>
  <c r="DE138" s="1"/>
  <c r="DM148"/>
  <c r="DD146"/>
  <c r="DE146" s="1"/>
  <c r="DW149"/>
  <c r="AI137"/>
  <c r="AN141"/>
  <c r="AO141" s="1"/>
  <c r="AN150"/>
  <c r="AO150" s="1"/>
  <c r="CY145"/>
  <c r="EG144"/>
  <c r="BR140"/>
  <c r="DD136"/>
  <c r="DE136"/>
  <c r="EH133"/>
  <c r="GI133"/>
  <c r="DD137"/>
  <c r="CY150"/>
  <c r="AI138"/>
  <c r="AJ141"/>
  <c r="AI146"/>
  <c r="AJ149"/>
  <c r="DW141"/>
  <c r="GI138"/>
  <c r="GI141"/>
  <c r="DD139"/>
  <c r="DE139" s="1"/>
  <c r="BQ134"/>
  <c r="BV138"/>
  <c r="BW138" s="1"/>
  <c r="BV140"/>
  <c r="BW140" s="1"/>
  <c r="BV147"/>
  <c r="BW147" s="1"/>
  <c r="CE149"/>
  <c r="CE140"/>
  <c r="BQ136"/>
  <c r="BQ149"/>
  <c r="BQ139"/>
  <c r="BV141"/>
  <c r="BW141" s="1"/>
  <c r="BV146"/>
  <c r="BW146" s="1"/>
  <c r="AJ134"/>
  <c r="AJ135"/>
  <c r="AN138"/>
  <c r="AO138" s="1"/>
  <c r="AJ144"/>
  <c r="AN136"/>
  <c r="AO136"/>
  <c r="BB137"/>
  <c r="AI139"/>
  <c r="AN140"/>
  <c r="BB141"/>
  <c r="AN144"/>
  <c r="AO144"/>
  <c r="BB145"/>
  <c r="AI147"/>
  <c r="BB149"/>
  <c r="BG150"/>
  <c r="AJ133"/>
  <c r="AJ140"/>
  <c r="AJ148"/>
  <c r="DW139"/>
  <c r="CJ139"/>
  <c r="BW139"/>
  <c r="DR139"/>
  <c r="EW139"/>
  <c r="DM139"/>
  <c r="DT139"/>
  <c r="CL139"/>
  <c r="CB139"/>
  <c r="DO139"/>
  <c r="ER139"/>
  <c r="EG134"/>
  <c r="EH134"/>
  <c r="EG138"/>
  <c r="EH138"/>
  <c r="EU141"/>
  <c r="EL141"/>
  <c r="EM141" s="1"/>
  <c r="EG148"/>
  <c r="EH148"/>
  <c r="CY141"/>
  <c r="CZ141"/>
  <c r="DY143"/>
  <c r="FG143"/>
  <c r="CQ143"/>
  <c r="EB143"/>
  <c r="CT143"/>
  <c r="FJ143"/>
  <c r="CV149"/>
  <c r="DO149"/>
  <c r="EU149"/>
  <c r="EZ149"/>
  <c r="CG149"/>
  <c r="DJ149"/>
  <c r="ED149"/>
  <c r="BN149"/>
  <c r="EM149"/>
  <c r="FB149"/>
  <c r="EW149"/>
  <c r="DT149"/>
  <c r="BQ145"/>
  <c r="BR145"/>
  <c r="EW145"/>
  <c r="DJ145"/>
  <c r="EZ145"/>
  <c r="CJ145"/>
  <c r="CE145"/>
  <c r="ER145"/>
  <c r="DO145"/>
  <c r="DM145"/>
  <c r="CG145"/>
  <c r="FE145"/>
  <c r="FB145"/>
  <c r="DT145"/>
  <c r="ED145"/>
  <c r="EH140"/>
  <c r="EG140"/>
  <c r="CZ140"/>
  <c r="CY140"/>
  <c r="EL137"/>
  <c r="EM137" s="1"/>
  <c r="FS137" s="1"/>
  <c r="EL150"/>
  <c r="EM150" s="1"/>
  <c r="CE147"/>
  <c r="CO139"/>
  <c r="FB139"/>
  <c r="EL147"/>
  <c r="EM147" s="1"/>
  <c r="GI135"/>
  <c r="GI149"/>
  <c r="CO149"/>
  <c r="CG139"/>
  <c r="DJ139"/>
  <c r="DD150"/>
  <c r="DE150"/>
  <c r="ED139"/>
  <c r="AD144"/>
  <c r="GH144" s="1"/>
  <c r="GI144" s="1"/>
  <c r="EL139"/>
  <c r="EM139"/>
  <c r="DD144"/>
  <c r="DE144"/>
  <c r="BV148"/>
  <c r="BW148"/>
  <c r="CZ146"/>
  <c r="CY146"/>
  <c r="BR144"/>
  <c r="BQ144"/>
  <c r="GI145"/>
  <c r="GI150"/>
  <c r="BN137"/>
  <c r="DR144"/>
  <c r="CB144"/>
  <c r="CL144"/>
  <c r="CL137"/>
  <c r="EU144"/>
  <c r="DO137"/>
  <c r="FE137"/>
  <c r="DR137"/>
  <c r="EM144"/>
  <c r="CV144"/>
  <c r="ED144"/>
  <c r="BY134"/>
  <c r="FB137"/>
  <c r="EG135"/>
  <c r="EH146"/>
  <c r="CY139"/>
  <c r="BR146"/>
  <c r="CB137"/>
  <c r="BN134"/>
  <c r="DW144"/>
  <c r="FE138"/>
  <c r="BN147"/>
  <c r="CG147"/>
  <c r="BN146"/>
  <c r="CJ146"/>
  <c r="BN144"/>
  <c r="CJ144"/>
  <c r="CJ140"/>
  <c r="CB138"/>
  <c r="CL138"/>
  <c r="CX134"/>
  <c r="ED134"/>
  <c r="DW146"/>
  <c r="EW137"/>
  <c r="ER146"/>
  <c r="EG141"/>
  <c r="DO147"/>
  <c r="EF134"/>
  <c r="CJ137"/>
  <c r="DE137"/>
  <c r="CY149"/>
  <c r="CZ134"/>
  <c r="EM140"/>
  <c r="FB147"/>
  <c r="EG149"/>
  <c r="DJ140"/>
  <c r="DW147"/>
  <c r="EH147"/>
  <c r="EU137"/>
  <c r="FE147"/>
  <c r="DJ137"/>
  <c r="CV134"/>
  <c r="ED137"/>
  <c r="CV146"/>
  <c r="CV138"/>
  <c r="EW147"/>
  <c r="EU138"/>
  <c r="AD175"/>
  <c r="GH175"/>
  <c r="GI175" s="1"/>
  <c r="GI172"/>
  <c r="GI162"/>
  <c r="GI178"/>
  <c r="EG20" i="165"/>
  <c r="EG20" i="177" s="1"/>
  <c r="EK20"/>
  <c r="FB25" i="165"/>
  <c r="FB25" i="177" s="1"/>
  <c r="FA25" i="165"/>
  <c r="FA25" i="177" s="1"/>
  <c r="EH16" i="165"/>
  <c r="EH16" i="177" s="1"/>
  <c r="EG16" i="165"/>
  <c r="EG16" i="177" s="1"/>
  <c r="AH19" i="165"/>
  <c r="AH19" i="177" s="1"/>
  <c r="AF19" i="165"/>
  <c r="AF19" i="177" s="1"/>
  <c r="CX24" i="165"/>
  <c r="CX24" i="177" s="1"/>
  <c r="DA24"/>
  <c r="CV24" i="165"/>
  <c r="CV24" i="177"/>
  <c r="EW24" i="165"/>
  <c r="EW24" i="177"/>
  <c r="EV24" i="165"/>
  <c r="EV24" i="177"/>
  <c r="DP24"/>
  <c r="DO24" i="165"/>
  <c r="DO24" i="177" s="1"/>
  <c r="CA24" i="165"/>
  <c r="CA24" i="177" s="1"/>
  <c r="CC24"/>
  <c r="BN26" i="165"/>
  <c r="BN26" i="177"/>
  <c r="BM26" i="165"/>
  <c r="BM26" i="177"/>
  <c r="BS26"/>
  <c r="ER28" i="165"/>
  <c r="ER28" i="177" s="1"/>
  <c r="ES28"/>
  <c r="FC27" i="165"/>
  <c r="EL27"/>
  <c r="EL27" i="177" s="1"/>
  <c r="BE27" i="165"/>
  <c r="BV27"/>
  <c r="BV27" i="177" s="1"/>
  <c r="CD27" i="165"/>
  <c r="CD27" i="177" s="1"/>
  <c r="BS27" i="165"/>
  <c r="AM27"/>
  <c r="BA27"/>
  <c r="BA27" i="177" s="1"/>
  <c r="AZ27" i="165"/>
  <c r="ES27"/>
  <c r="DQ27"/>
  <c r="DQ27" i="177" s="1"/>
  <c r="EU27" i="165"/>
  <c r="EU27" i="177" s="1"/>
  <c r="CH27" i="165"/>
  <c r="DL27"/>
  <c r="DL27" i="177"/>
  <c r="EY27" i="165"/>
  <c r="EY27" i="177"/>
  <c r="BU27" i="165"/>
  <c r="AV27"/>
  <c r="AV27" i="177" s="1"/>
  <c r="DR27" i="165"/>
  <c r="DR27" i="177" s="1"/>
  <c r="EK27" i="165"/>
  <c r="ET27"/>
  <c r="ET27" i="177"/>
  <c r="DP27" i="165"/>
  <c r="DA27"/>
  <c r="DK27"/>
  <c r="BF27"/>
  <c r="BF27" i="177" s="1"/>
  <c r="AU27" i="165"/>
  <c r="BW27"/>
  <c r="BW27" i="177" s="1"/>
  <c r="CO27" i="165"/>
  <c r="CO27" i="177" s="1"/>
  <c r="CI27" i="165"/>
  <c r="CI27" i="177" s="1"/>
  <c r="AK27" i="165"/>
  <c r="CC27"/>
  <c r="FD27"/>
  <c r="FD27" i="177" s="1"/>
  <c r="EX27" i="165"/>
  <c r="AW27"/>
  <c r="AW27" i="177" s="1"/>
  <c r="CM27" i="165"/>
  <c r="DC27"/>
  <c r="CN27"/>
  <c r="CN27" i="177" s="1"/>
  <c r="EZ27" i="165"/>
  <c r="EZ27" i="177" s="1"/>
  <c r="DD12" i="165"/>
  <c r="DD12" i="177" s="1"/>
  <c r="DA12" i="165"/>
  <c r="AM12"/>
  <c r="BU12"/>
  <c r="EI12"/>
  <c r="BV12"/>
  <c r="BV12" i="177" s="1"/>
  <c r="AR12" i="165"/>
  <c r="AR12" i="177" s="1"/>
  <c r="AK12" i="165"/>
  <c r="DH12"/>
  <c r="DH12" i="177" s="1"/>
  <c r="EL12" i="165"/>
  <c r="EL12" i="177" s="1"/>
  <c r="DC12" i="165"/>
  <c r="BS12"/>
  <c r="EK12"/>
  <c r="EP12"/>
  <c r="EP12" i="177" s="1"/>
  <c r="BZ12" i="165"/>
  <c r="BZ12" i="177" s="1"/>
  <c r="CE137" i="129"/>
  <c r="CV140"/>
  <c r="AS24" i="165"/>
  <c r="AS24" i="177" s="1"/>
  <c r="BQ16" i="165"/>
  <c r="BQ16" i="177" s="1"/>
  <c r="DU27"/>
  <c r="AG19" i="165"/>
  <c r="AG19" i="177" s="1"/>
  <c r="GI176" i="129"/>
  <c r="DK23" i="177"/>
  <c r="DI23" i="165"/>
  <c r="DI23" i="177" s="1"/>
  <c r="EF17" i="165"/>
  <c r="EF17" i="177" s="1"/>
  <c r="EC17" i="165"/>
  <c r="EC17" i="177" s="1"/>
  <c r="EI17"/>
  <c r="AJ15" i="165"/>
  <c r="AJ15" i="177" s="1"/>
  <c r="AM15"/>
  <c r="AI15" i="165"/>
  <c r="AI15" i="177"/>
  <c r="AS28" i="165"/>
  <c r="AS28" i="177"/>
  <c r="AU28"/>
  <c r="EC20" i="165"/>
  <c r="EC20" i="177" s="1"/>
  <c r="ED20" i="165"/>
  <c r="ED20" i="177" s="1"/>
  <c r="EI20"/>
  <c r="BR147" i="129"/>
  <c r="BQ147"/>
  <c r="AI136"/>
  <c r="AJ136"/>
  <c r="DP20" i="177"/>
  <c r="DN20" i="165"/>
  <c r="DN20" i="177" s="1"/>
  <c r="DS16" i="165"/>
  <c r="DS16" i="177" s="1"/>
  <c r="DU16"/>
  <c r="CX15" i="165"/>
  <c r="CX15" i="177" s="1"/>
  <c r="CU15" i="165"/>
  <c r="CU15" i="177" s="1"/>
  <c r="CV15" i="165"/>
  <c r="CV15" i="177" s="1"/>
  <c r="DA15"/>
  <c r="BG140" i="129"/>
  <c r="AY140"/>
  <c r="AF140"/>
  <c r="DM140"/>
  <c r="BD140"/>
  <c r="BB140"/>
  <c r="FB140"/>
  <c r="AT140"/>
  <c r="CG140"/>
  <c r="AO140"/>
  <c r="FE140"/>
  <c r="AW140"/>
  <c r="EW140"/>
  <c r="DO140"/>
  <c r="CB140"/>
  <c r="BN140"/>
  <c r="ER140"/>
  <c r="ED140"/>
  <c r="DC20" i="177"/>
  <c r="CZ20" i="165"/>
  <c r="CZ20" i="177"/>
  <c r="BM28" i="165"/>
  <c r="BM28" i="177"/>
  <c r="BS28"/>
  <c r="BN28" i="165"/>
  <c r="BN28" i="177" s="1"/>
  <c r="DP17" i="165"/>
  <c r="AZ17"/>
  <c r="BU17"/>
  <c r="BW17"/>
  <c r="BW17" i="177" s="1"/>
  <c r="BF17" i="165"/>
  <c r="BF17" i="177" s="1"/>
  <c r="DK17" i="165"/>
  <c r="FC17"/>
  <c r="DA17"/>
  <c r="EX17"/>
  <c r="BV17"/>
  <c r="BV17" i="177" s="1"/>
  <c r="DC17" i="165"/>
  <c r="DU17"/>
  <c r="CJ17"/>
  <c r="CJ17" i="177" s="1"/>
  <c r="AV17" i="165"/>
  <c r="AV17" i="177" s="1"/>
  <c r="CH17" i="165"/>
  <c r="DV17"/>
  <c r="DV17" i="177" s="1"/>
  <c r="BE17" i="165"/>
  <c r="CC17"/>
  <c r="CD17"/>
  <c r="CD17" i="177" s="1"/>
  <c r="ES17" i="165"/>
  <c r="ET17"/>
  <c r="ET17" i="177" s="1"/>
  <c r="EK17" i="165"/>
  <c r="AM17"/>
  <c r="CI17"/>
  <c r="CI17" i="177" s="1"/>
  <c r="BA17" i="165"/>
  <c r="BA17" i="177" s="1"/>
  <c r="CM17" i="165"/>
  <c r="EL17"/>
  <c r="EL17" i="177" s="1"/>
  <c r="EM17" i="165"/>
  <c r="EM17" i="177" s="1"/>
  <c r="AK17" i="165"/>
  <c r="FD17"/>
  <c r="FD17" i="177" s="1"/>
  <c r="AU17" i="165"/>
  <c r="DL17"/>
  <c r="DL17" i="177" s="1"/>
  <c r="BS17" i="165"/>
  <c r="DQ17"/>
  <c r="DQ17" i="177"/>
  <c r="DX22" i="165"/>
  <c r="DX22" i="177" s="1"/>
  <c r="BJ22" i="165"/>
  <c r="CP22"/>
  <c r="CP22" i="177"/>
  <c r="CR22" i="165"/>
  <c r="FH22"/>
  <c r="FF22"/>
  <c r="FF22" i="177" s="1"/>
  <c r="DZ22" i="165"/>
  <c r="BQ135" i="129"/>
  <c r="BR135"/>
  <c r="BR141"/>
  <c r="BU16" i="177"/>
  <c r="CG29" i="165"/>
  <c r="CG29" i="177"/>
  <c r="GI167" i="129"/>
  <c r="GI169"/>
  <c r="AN148"/>
  <c r="AO148"/>
  <c r="CO140"/>
  <c r="DJ23" i="165"/>
  <c r="DJ23" i="177" s="1"/>
  <c r="EK16"/>
  <c r="GI137" i="129"/>
  <c r="AZ29" i="165"/>
  <c r="CM29"/>
  <c r="DW29"/>
  <c r="DW29" i="177" s="1"/>
  <c r="AM29" i="165"/>
  <c r="CD29"/>
  <c r="CD29" i="177" s="1"/>
  <c r="FD29" i="165"/>
  <c r="FD29" i="177" s="1"/>
  <c r="BF29" i="165"/>
  <c r="BF29" i="177" s="1"/>
  <c r="DV29" i="165"/>
  <c r="DV29" i="177" s="1"/>
  <c r="CC29" i="165"/>
  <c r="EK29"/>
  <c r="BE29"/>
  <c r="BU29"/>
  <c r="DK29"/>
  <c r="DK29" i="177" s="1"/>
  <c r="BW29" i="165"/>
  <c r="BW29" i="177" s="1"/>
  <c r="BA29" i="165"/>
  <c r="BA29" i="177" s="1"/>
  <c r="FC29" i="165"/>
  <c r="BV29"/>
  <c r="BV29" i="177"/>
  <c r="CN29" i="165"/>
  <c r="CN29" i="177"/>
  <c r="AW29" i="165"/>
  <c r="AW29" i="177"/>
  <c r="DL29" i="165"/>
  <c r="DL29" i="177"/>
  <c r="BW28" i="165"/>
  <c r="BW28" i="177" s="1"/>
  <c r="DW28" i="165"/>
  <c r="DW28" i="177" s="1"/>
  <c r="EX28" i="165"/>
  <c r="CI28"/>
  <c r="CI28" i="177" s="1"/>
  <c r="CM28" i="165"/>
  <c r="BU28"/>
  <c r="DR28"/>
  <c r="DR28" i="177" s="1"/>
  <c r="FD28" i="165"/>
  <c r="FD28" i="177" s="1"/>
  <c r="AM28" i="165"/>
  <c r="DM28"/>
  <c r="DM28" i="177"/>
  <c r="CJ28" i="165"/>
  <c r="CJ28" i="177"/>
  <c r="CD28" i="165"/>
  <c r="CD28" i="177" s="1"/>
  <c r="CE28" i="165"/>
  <c r="CE28" i="177" s="1"/>
  <c r="CH28" i="165"/>
  <c r="ET28"/>
  <c r="ET28" i="177"/>
  <c r="DK28" i="165"/>
  <c r="BA28"/>
  <c r="BA28" i="177" s="1"/>
  <c r="BE28" i="165"/>
  <c r="CN28"/>
  <c r="CN28" i="177" s="1"/>
  <c r="DP28" i="165"/>
  <c r="DL28"/>
  <c r="DL28" i="177" s="1"/>
  <c r="AV28" i="165"/>
  <c r="AV28" i="177" s="1"/>
  <c r="EY28" i="165"/>
  <c r="EY28" i="177" s="1"/>
  <c r="BI142" i="129"/>
  <c r="EB142"/>
  <c r="EL148"/>
  <c r="EM148" s="1"/>
  <c r="EU148"/>
  <c r="BR137"/>
  <c r="AK26" i="177"/>
  <c r="AF26" i="165"/>
  <c r="AF26" i="177" s="1"/>
  <c r="BO25" i="165"/>
  <c r="BO25" i="177" s="1"/>
  <c r="DU29"/>
  <c r="DA29"/>
  <c r="EF24" i="165"/>
  <c r="EF24" i="177" s="1"/>
  <c r="BQ18" i="165"/>
  <c r="BQ18" i="177" s="1"/>
  <c r="CG24" i="165"/>
  <c r="CG24" i="177" s="1"/>
  <c r="CK24" i="165"/>
  <c r="CK24" i="177" s="1"/>
  <c r="FC28"/>
  <c r="CF20" i="165"/>
  <c r="CF20" i="177" s="1"/>
  <c r="BR19" i="165"/>
  <c r="BR19" i="177" s="1"/>
  <c r="EG14" i="165"/>
  <c r="EG14" i="177" s="1"/>
  <c r="FC20" i="165"/>
  <c r="FB20" s="1"/>
  <c r="FB20" i="177" s="1"/>
  <c r="CD20" i="165"/>
  <c r="CD20" i="177"/>
  <c r="ET20" i="165"/>
  <c r="ET20" i="177"/>
  <c r="DA20" i="165"/>
  <c r="AK20"/>
  <c r="AE20" s="1"/>
  <c r="AE20" i="177" s="1"/>
  <c r="ET29" i="165"/>
  <c r="ET29" i="177" s="1"/>
  <c r="ES29" i="165"/>
  <c r="EI29"/>
  <c r="FC19"/>
  <c r="FB19" s="1"/>
  <c r="FB19" i="177" s="1"/>
  <c r="GI134" i="129"/>
  <c r="GI148"/>
  <c r="AD165"/>
  <c r="GH165" s="1"/>
  <c r="GI165" s="1"/>
  <c r="AN149"/>
  <c r="AO149" s="1"/>
  <c r="DU20" i="165"/>
  <c r="DL20"/>
  <c r="DL20" i="177" s="1"/>
  <c r="EX20" i="165"/>
  <c r="AZ20"/>
  <c r="CN20"/>
  <c r="CN20" i="177" s="1"/>
  <c r="DK20" i="165"/>
  <c r="CC20"/>
  <c r="BA20"/>
  <c r="BA20" i="177" s="1"/>
  <c r="AM20" i="165"/>
  <c r="DW20"/>
  <c r="DW20" i="177"/>
  <c r="BU20" i="165"/>
  <c r="BR20"/>
  <c r="BR20" i="177" s="1"/>
  <c r="BB20" i="165"/>
  <c r="BB20" i="177" s="1"/>
  <c r="DV20" i="165"/>
  <c r="DV20" i="177" s="1"/>
  <c r="AU20" i="165"/>
  <c r="BS20"/>
  <c r="ES20"/>
  <c r="ER20" s="1"/>
  <c r="ER20" i="177" s="1"/>
  <c r="DQ19" i="165"/>
  <c r="DQ19" i="177" s="1"/>
  <c r="DA19" i="165"/>
  <c r="EX19"/>
  <c r="BS19"/>
  <c r="EM19"/>
  <c r="EM19" i="177" s="1"/>
  <c r="EK19" i="165"/>
  <c r="EK19" i="177" s="1"/>
  <c r="CI19" i="165"/>
  <c r="CI19" i="177" s="1"/>
  <c r="DP19" i="165"/>
  <c r="ET19"/>
  <c r="ET19" i="177" s="1"/>
  <c r="BA19" i="165"/>
  <c r="BA19" i="177" s="1"/>
  <c r="EY19" i="165"/>
  <c r="EY19" i="177" s="1"/>
  <c r="AM19" i="165"/>
  <c r="EI19"/>
  <c r="AV19"/>
  <c r="AV19" i="177" s="1"/>
  <c r="DU19" i="165"/>
  <c r="CM19"/>
  <c r="CL19" s="1"/>
  <c r="CL19" i="177" s="1"/>
  <c r="FD19" i="165"/>
  <c r="FD19" i="177" s="1"/>
  <c r="CD19" i="165"/>
  <c r="CD19" i="177" s="1"/>
  <c r="DV19" i="165"/>
  <c r="DV19" i="177" s="1"/>
  <c r="CJ19" i="165"/>
  <c r="CJ19" i="177" s="1"/>
  <c r="BW19" i="165"/>
  <c r="BW19" i="177" s="1"/>
  <c r="DC29"/>
  <c r="CW29" i="165"/>
  <c r="CW29" i="177" s="1"/>
  <c r="BU18"/>
  <c r="DJ19" i="165"/>
  <c r="DJ19" i="177" s="1"/>
  <c r="EY29" i="165"/>
  <c r="EY29" i="177" s="1"/>
  <c r="CI29" i="165"/>
  <c r="CI29" i="177" s="1"/>
  <c r="FE29" i="165"/>
  <c r="FE29" i="177" s="1"/>
  <c r="CM20" i="165"/>
  <c r="EL20"/>
  <c r="EL20" i="177" s="1"/>
  <c r="AV20" i="165"/>
  <c r="AV20" i="177" s="1"/>
  <c r="AK29" i="165"/>
  <c r="EX29"/>
  <c r="AV29"/>
  <c r="AV29" i="177"/>
  <c r="AU29" i="165"/>
  <c r="AS29"/>
  <c r="AS29" i="177" s="1"/>
  <c r="GI142" i="129"/>
  <c r="GI168"/>
  <c r="AW137"/>
  <c r="BL142"/>
  <c r="BU13" i="165"/>
  <c r="BV13" i="177"/>
  <c r="FB138" i="129"/>
  <c r="BB138"/>
  <c r="AT138"/>
  <c r="BD145"/>
  <c r="AY145"/>
  <c r="AF145"/>
  <c r="AT150"/>
  <c r="DR150"/>
  <c r="FE150"/>
  <c r="AY150"/>
  <c r="CE150"/>
  <c r="ER150"/>
  <c r="CZ138"/>
  <c r="CY138"/>
  <c r="CO136"/>
  <c r="GI139"/>
  <c r="GI164"/>
  <c r="R11" i="177"/>
  <c r="Q11" s="1"/>
  <c r="EL138" i="129"/>
  <c r="EM138" s="1"/>
  <c r="EL146"/>
  <c r="EM146" s="1"/>
  <c r="DM136"/>
  <c r="DR146"/>
  <c r="CO138"/>
  <c r="AF138"/>
  <c r="AO145"/>
  <c r="BG145"/>
  <c r="AW149"/>
  <c r="AW150"/>
  <c r="CH18" i="165"/>
  <c r="EZ18"/>
  <c r="EZ18" i="177" s="1"/>
  <c r="CD18" i="165"/>
  <c r="CD18" i="177" s="1"/>
  <c r="DA18" i="165"/>
  <c r="CX18" s="1"/>
  <c r="CX18" i="177" s="1"/>
  <c r="AU18" i="165"/>
  <c r="AU18" i="177"/>
  <c r="EK18" i="165"/>
  <c r="EY18"/>
  <c r="EY18" i="177" s="1"/>
  <c r="BV18" i="165"/>
  <c r="BV18" i="177" s="1"/>
  <c r="DQ18" i="165"/>
  <c r="DQ18" i="177" s="1"/>
  <c r="EX18" i="165"/>
  <c r="BE18"/>
  <c r="AM18"/>
  <c r="AM18" i="177" s="1"/>
  <c r="DP18" i="165"/>
  <c r="FD18"/>
  <c r="FD18" i="177"/>
  <c r="AH135" i="129"/>
  <c r="AO135"/>
  <c r="AF135"/>
  <c r="BW135"/>
  <c r="DE135"/>
  <c r="EM135"/>
  <c r="EF135"/>
  <c r="BD136"/>
  <c r="EU136"/>
  <c r="ER136"/>
  <c r="AW136"/>
  <c r="DR136"/>
  <c r="BD144"/>
  <c r="DO144"/>
  <c r="AW144"/>
  <c r="EW144"/>
  <c r="BB146"/>
  <c r="AT146"/>
  <c r="CO146"/>
  <c r="EW146"/>
  <c r="FB146"/>
  <c r="BG146"/>
  <c r="AY146"/>
  <c r="AF146"/>
  <c r="AT147"/>
  <c r="EZ147"/>
  <c r="DJ147"/>
  <c r="BG147"/>
  <c r="AY147"/>
  <c r="CJ147"/>
  <c r="ER147"/>
  <c r="AT149"/>
  <c r="BD149"/>
  <c r="AY149"/>
  <c r="AF149"/>
  <c r="GI146"/>
  <c r="GI147"/>
  <c r="EU147"/>
  <c r="EZ150"/>
  <c r="DM138"/>
  <c r="CE138"/>
  <c r="BV144"/>
  <c r="BW144" s="1"/>
  <c r="BV149"/>
  <c r="BW149" s="1"/>
  <c r="CJ150"/>
  <c r="AY136"/>
  <c r="BD138"/>
  <c r="AN139"/>
  <c r="AO139" s="1"/>
  <c r="BB144"/>
  <c r="AT145"/>
  <c r="AF150"/>
  <c r="FE141"/>
  <c r="CJ148"/>
  <c r="AQ133"/>
  <c r="AF137"/>
  <c r="AY137"/>
  <c r="BD137"/>
  <c r="BG139"/>
  <c r="AT141"/>
  <c r="AW148"/>
  <c r="BB148"/>
  <c r="EZ137"/>
  <c r="DE133"/>
  <c r="DW137"/>
  <c r="DW148"/>
  <c r="CO137"/>
  <c r="AT137"/>
  <c r="AF139"/>
  <c r="AW141"/>
  <c r="BU13" i="177"/>
  <c r="CK20" i="165"/>
  <c r="CK20" i="177" s="1"/>
  <c r="CM20"/>
  <c r="CL20" i="165"/>
  <c r="CL20" i="177" s="1"/>
  <c r="BQ20" i="165"/>
  <c r="BQ20" i="177" s="1"/>
  <c r="BU20"/>
  <c r="DT20" i="165"/>
  <c r="DT20" i="177" s="1"/>
  <c r="DU20"/>
  <c r="DS20" i="165"/>
  <c r="DS20" i="177"/>
  <c r="FC19"/>
  <c r="FA19" i="165"/>
  <c r="FA19" i="177" s="1"/>
  <c r="FA20" i="165"/>
  <c r="FA20" i="177" s="1"/>
  <c r="DI29" i="165"/>
  <c r="DI29" i="177" s="1"/>
  <c r="DJ29" i="165"/>
  <c r="DJ29" i="177" s="1"/>
  <c r="CG17" i="165"/>
  <c r="CG17" i="177" s="1"/>
  <c r="CH17"/>
  <c r="CF17" i="165"/>
  <c r="CF17" i="177" s="1"/>
  <c r="BU12"/>
  <c r="BQ12" i="165"/>
  <c r="BQ12" i="177"/>
  <c r="AH27" i="165"/>
  <c r="AH27" i="177"/>
  <c r="AE27" i="165"/>
  <c r="AE27" i="177"/>
  <c r="AK27"/>
  <c r="AF27" i="165"/>
  <c r="AF27" i="177" s="1"/>
  <c r="AG27" i="165"/>
  <c r="AG27" i="177" s="1"/>
  <c r="BD27" i="165"/>
  <c r="BD27" i="177" s="1"/>
  <c r="BC27" i="165"/>
  <c r="BC27" i="177" s="1"/>
  <c r="BE27"/>
  <c r="BM20" i="165"/>
  <c r="BM20" i="177"/>
  <c r="BO20" i="165"/>
  <c r="BO20" i="177"/>
  <c r="BP20" i="165"/>
  <c r="BP20" i="177"/>
  <c r="EQ29" i="165"/>
  <c r="EQ29" i="177"/>
  <c r="CU20" i="165"/>
  <c r="CU20" i="177"/>
  <c r="CV20" i="165"/>
  <c r="CV20" i="177"/>
  <c r="DO28" i="165"/>
  <c r="DO28" i="177"/>
  <c r="DN28" i="165"/>
  <c r="DN28" i="177"/>
  <c r="DP28"/>
  <c r="AY29" i="165"/>
  <c r="AY29" i="177" s="1"/>
  <c r="AZ29"/>
  <c r="AX29" i="165"/>
  <c r="AX29" i="177" s="1"/>
  <c r="AS17" i="165"/>
  <c r="AS17" i="177" s="1"/>
  <c r="AU17"/>
  <c r="AT17" i="165"/>
  <c r="AT17" i="177" s="1"/>
  <c r="DU17"/>
  <c r="DS17" i="165"/>
  <c r="DS17" i="177"/>
  <c r="DT17" i="165"/>
  <c r="DT17" i="177"/>
  <c r="FC17"/>
  <c r="FB17" i="165"/>
  <c r="FB17" i="177" s="1"/>
  <c r="FA17" i="165"/>
  <c r="FA17" i="177" s="1"/>
  <c r="EI12"/>
  <c r="EE12" i="165"/>
  <c r="EE12" i="177" s="1"/>
  <c r="CK27" i="165"/>
  <c r="CK27" i="177" s="1"/>
  <c r="CL27" i="165"/>
  <c r="CL27" i="177" s="1"/>
  <c r="CM27"/>
  <c r="ER27" i="165"/>
  <c r="ER27" i="177"/>
  <c r="ES27"/>
  <c r="EQ27" i="165"/>
  <c r="EQ27" i="177" s="1"/>
  <c r="CW18" i="165"/>
  <c r="CW18" i="177" s="1"/>
  <c r="CG18" i="165"/>
  <c r="CG18" i="177" s="1"/>
  <c r="AJ19" i="165"/>
  <c r="AJ19" i="177" s="1"/>
  <c r="BS19"/>
  <c r="BP19" i="165"/>
  <c r="BP19" i="177"/>
  <c r="BO19" i="165"/>
  <c r="BO19" i="177"/>
  <c r="EQ20" i="165"/>
  <c r="EQ20" i="177" s="1"/>
  <c r="ES20"/>
  <c r="AY20" i="165"/>
  <c r="AY20" i="177"/>
  <c r="AZ20"/>
  <c r="AX20" i="165"/>
  <c r="AX20" i="177" s="1"/>
  <c r="AH20" i="165"/>
  <c r="AH20" i="177"/>
  <c r="AK20"/>
  <c r="AF20" i="165"/>
  <c r="AF20" i="177" s="1"/>
  <c r="BD28" i="165"/>
  <c r="BD28" i="177" s="1"/>
  <c r="BC28" i="165"/>
  <c r="BC28" i="177" s="1"/>
  <c r="BE28"/>
  <c r="CF28" i="165"/>
  <c r="CF28" i="177" s="1"/>
  <c r="CH28"/>
  <c r="CG28" i="165"/>
  <c r="CG28" i="177" s="1"/>
  <c r="CK28" i="165"/>
  <c r="CK28" i="177" s="1"/>
  <c r="CL28" i="165"/>
  <c r="CL28" i="177" s="1"/>
  <c r="CM28"/>
  <c r="FB29" i="165"/>
  <c r="FB29" i="177"/>
  <c r="FC29"/>
  <c r="FA29" i="165"/>
  <c r="FA29" i="177" s="1"/>
  <c r="EG29" i="165"/>
  <c r="EG29" i="177" s="1"/>
  <c r="EK29"/>
  <c r="EH29" i="165"/>
  <c r="EH29" i="177"/>
  <c r="BS17"/>
  <c r="BO17" i="165"/>
  <c r="BO17" i="177" s="1"/>
  <c r="BM17" i="165"/>
  <c r="BM17" i="177" s="1"/>
  <c r="BN17" i="165"/>
  <c r="BN17" i="177" s="1"/>
  <c r="BP17" i="165"/>
  <c r="BP17" i="177" s="1"/>
  <c r="CC17"/>
  <c r="CA17" i="165"/>
  <c r="CA17" i="177"/>
  <c r="CB17" i="165"/>
  <c r="CB17" i="177"/>
  <c r="CY17" i="165"/>
  <c r="CY17" i="177"/>
  <c r="CZ17" i="165"/>
  <c r="CZ17" i="177"/>
  <c r="DC17"/>
  <c r="CV17" i="165"/>
  <c r="CV17" i="177" s="1"/>
  <c r="CW17" i="165"/>
  <c r="CW17" i="177" s="1"/>
  <c r="CX17" i="165"/>
  <c r="CX17" i="177" s="1"/>
  <c r="CU17" i="165"/>
  <c r="CU17" i="177" s="1"/>
  <c r="DA17"/>
  <c r="DJ17" i="165"/>
  <c r="DJ17" i="177"/>
  <c r="DI17" i="165"/>
  <c r="DI17" i="177"/>
  <c r="DK17"/>
  <c r="BU17"/>
  <c r="BR17" i="165"/>
  <c r="BR17" i="177"/>
  <c r="BQ17" i="165"/>
  <c r="BQ17" i="177"/>
  <c r="BS12"/>
  <c r="BO12" i="165"/>
  <c r="BO12" i="177"/>
  <c r="CY12" i="165"/>
  <c r="CY12" i="177"/>
  <c r="DC12"/>
  <c r="AN12" i="165"/>
  <c r="AI12"/>
  <c r="AI12" i="177" s="1"/>
  <c r="AM12"/>
  <c r="AN12"/>
  <c r="EX27"/>
  <c r="EV27" i="165"/>
  <c r="EV27" i="177" s="1"/>
  <c r="EW27" i="165"/>
  <c r="EW27" i="177" s="1"/>
  <c r="AT27" i="165"/>
  <c r="AT27" i="177" s="1"/>
  <c r="AU27"/>
  <c r="AS27" i="165"/>
  <c r="AS27" i="177" s="1"/>
  <c r="CX27" i="165"/>
  <c r="CX27" i="177" s="1"/>
  <c r="CV27" i="165"/>
  <c r="CV27" i="177" s="1"/>
  <c r="CW27" i="165"/>
  <c r="CW27" i="177" s="1"/>
  <c r="CU27" i="165"/>
  <c r="CU27" i="177" s="1"/>
  <c r="DA27"/>
  <c r="EK27"/>
  <c r="EH27" i="165"/>
  <c r="EH27" i="177" s="1"/>
  <c r="EG27" i="165"/>
  <c r="EG27" i="177" s="1"/>
  <c r="BR27" i="165"/>
  <c r="BR27" i="177" s="1"/>
  <c r="BU27"/>
  <c r="BQ27" i="165"/>
  <c r="BQ27" i="177" s="1"/>
  <c r="BM27" i="165"/>
  <c r="BM27" i="177" s="1"/>
  <c r="BO27" i="165"/>
  <c r="BO27" i="177" s="1"/>
  <c r="BS27"/>
  <c r="BN27" i="165"/>
  <c r="BN27" i="177"/>
  <c r="BP27" i="165"/>
  <c r="BP27" i="177"/>
  <c r="BD18" i="165"/>
  <c r="BD18" i="177"/>
  <c r="BE18"/>
  <c r="BC18" i="165"/>
  <c r="BC18" i="177" s="1"/>
  <c r="AT18" i="165"/>
  <c r="AT18" i="177" s="1"/>
  <c r="AE29" i="165"/>
  <c r="AE29" i="177" s="1"/>
  <c r="AG29" i="165"/>
  <c r="AG29" i="177" s="1"/>
  <c r="AF29" i="165"/>
  <c r="AF29" i="177" s="1"/>
  <c r="AH29" i="165"/>
  <c r="AH29" i="177" s="1"/>
  <c r="AK29"/>
  <c r="CK19" i="165"/>
  <c r="CK19" i="177"/>
  <c r="CM19"/>
  <c r="AT20" i="165"/>
  <c r="AT20" i="177" s="1"/>
  <c r="AS20" i="165"/>
  <c r="AS20" i="177" s="1"/>
  <c r="AU20"/>
  <c r="BR28" i="165"/>
  <c r="BR28" i="177"/>
  <c r="BU28"/>
  <c r="BQ28" i="165"/>
  <c r="BQ28" i="177" s="1"/>
  <c r="BE29"/>
  <c r="BC29" i="165"/>
  <c r="BC29" i="177" s="1"/>
  <c r="BD29" i="165"/>
  <c r="BD29" i="177" s="1"/>
  <c r="CS22" i="165"/>
  <c r="CS22" i="177" s="1"/>
  <c r="CR22"/>
  <c r="CT22" i="165"/>
  <c r="CT22" i="177" s="1"/>
  <c r="DN17" i="165"/>
  <c r="DN17" i="177" s="1"/>
  <c r="DP17"/>
  <c r="DO17" i="165"/>
  <c r="DO17" i="177" s="1"/>
  <c r="EK12"/>
  <c r="EG12" i="165"/>
  <c r="EG12" i="177" s="1"/>
  <c r="AK12"/>
  <c r="AG12" i="165"/>
  <c r="AG12" i="177" s="1"/>
  <c r="CH27"/>
  <c r="CG27" i="165"/>
  <c r="CG27" i="177" s="1"/>
  <c r="CF27" i="165"/>
  <c r="CF27" i="177" s="1"/>
  <c r="AZ27"/>
  <c r="AY27" i="165"/>
  <c r="AY27" i="177" s="1"/>
  <c r="AX27" i="165"/>
  <c r="AX27" i="177" s="1"/>
  <c r="EK18"/>
  <c r="EG18" i="165"/>
  <c r="EG18" i="177" s="1"/>
  <c r="EH18" i="165"/>
  <c r="EH18" i="177" s="1"/>
  <c r="AT29" i="165"/>
  <c r="AT29" i="177" s="1"/>
  <c r="AU29"/>
  <c r="EE19" i="165"/>
  <c r="EE19" i="177"/>
  <c r="EF19" i="165"/>
  <c r="EF19" i="177"/>
  <c r="EC19" i="165"/>
  <c r="EC19" i="177"/>
  <c r="EI19"/>
  <c r="ED19" i="165"/>
  <c r="ED19" i="177" s="1"/>
  <c r="CV19" i="165"/>
  <c r="CV19" i="177" s="1"/>
  <c r="CX19" i="165"/>
  <c r="CX19" i="177" s="1"/>
  <c r="DA19"/>
  <c r="CU19" i="165"/>
  <c r="CU19" i="177" s="1"/>
  <c r="CW19" i="165"/>
  <c r="CW19" i="177" s="1"/>
  <c r="DJ28" i="165"/>
  <c r="DJ28" i="177" s="1"/>
  <c r="DK28"/>
  <c r="DI28" i="165"/>
  <c r="DI28" i="177" s="1"/>
  <c r="AI28" i="165"/>
  <c r="AI28" i="177" s="1"/>
  <c r="AJ28" i="165"/>
  <c r="AJ28" i="177" s="1"/>
  <c r="AM28"/>
  <c r="EV28" i="165"/>
  <c r="EV28" i="177"/>
  <c r="EX28"/>
  <c r="EW28" i="165"/>
  <c r="EW28" i="177" s="1"/>
  <c r="AI29" i="165"/>
  <c r="AI29" i="177" s="1"/>
  <c r="AM29"/>
  <c r="AJ29" i="165"/>
  <c r="AJ29" i="177"/>
  <c r="EA22" i="165"/>
  <c r="EA22" i="177"/>
  <c r="DZ22"/>
  <c r="EB22" i="165"/>
  <c r="EB22" i="177" s="1"/>
  <c r="EG17" i="165"/>
  <c r="EG17" i="177" s="1"/>
  <c r="EK17"/>
  <c r="EH17" i="165"/>
  <c r="EH17" i="177"/>
  <c r="EV17" i="165"/>
  <c r="EV17" i="177"/>
  <c r="EW17" i="165"/>
  <c r="EW17" i="177"/>
  <c r="EX17"/>
  <c r="CA27" i="165"/>
  <c r="CA27" i="177" s="1"/>
  <c r="CC27"/>
  <c r="CB27" i="165"/>
  <c r="CB27" i="177" s="1"/>
  <c r="DI27" i="165"/>
  <c r="DI27" i="177" s="1"/>
  <c r="DK27"/>
  <c r="DJ27" i="165"/>
  <c r="DJ27" i="177" s="1"/>
  <c r="FA27" i="165"/>
  <c r="FA27" i="177" s="1"/>
  <c r="FB27" i="165"/>
  <c r="FB27" i="177" s="1"/>
  <c r="FC27"/>
  <c r="EW18" i="165"/>
  <c r="EW18" i="177"/>
  <c r="EX18"/>
  <c r="EV18" i="165"/>
  <c r="EV18" i="177" s="1"/>
  <c r="EV29" i="165"/>
  <c r="EV29" i="177" s="1"/>
  <c r="EW29" i="165"/>
  <c r="EW29" i="177" s="1"/>
  <c r="EX29"/>
  <c r="DP19"/>
  <c r="DO19" i="165"/>
  <c r="DO19" i="177" s="1"/>
  <c r="DN19" i="165"/>
  <c r="DN19" i="177" s="1"/>
  <c r="EV19" i="165"/>
  <c r="EV19" i="177" s="1"/>
  <c r="EX19"/>
  <c r="EW19" i="165"/>
  <c r="EW19" i="177"/>
  <c r="AM20"/>
  <c r="AI20" i="165"/>
  <c r="AI20" i="177" s="1"/>
  <c r="AJ20" i="165"/>
  <c r="AJ20" i="177" s="1"/>
  <c r="DK20"/>
  <c r="DJ20" i="165"/>
  <c r="DJ20" i="177"/>
  <c r="DI20" i="165"/>
  <c r="DI20" i="177"/>
  <c r="EW20" i="165"/>
  <c r="EW20" i="177"/>
  <c r="EV20" i="165"/>
  <c r="EV20" i="177"/>
  <c r="EX20"/>
  <c r="EE29" i="165"/>
  <c r="EE29" i="177" s="1"/>
  <c r="EI29"/>
  <c r="EC29" i="165"/>
  <c r="EC29" i="177" s="1"/>
  <c r="EF29" i="165"/>
  <c r="EF29" i="177" s="1"/>
  <c r="ED29" i="165"/>
  <c r="ED29" i="177" s="1"/>
  <c r="BR29" i="165"/>
  <c r="BR29" i="177" s="1"/>
  <c r="BU29"/>
  <c r="BQ29" i="165"/>
  <c r="BQ29" i="177" s="1"/>
  <c r="CA29" i="165"/>
  <c r="CA29" i="177" s="1"/>
  <c r="CC29"/>
  <c r="CB29" i="165"/>
  <c r="CB29" i="177" s="1"/>
  <c r="CM29"/>
  <c r="CL29" i="165"/>
  <c r="CL29" i="177" s="1"/>
  <c r="CK29" i="165"/>
  <c r="CK29" i="177" s="1"/>
  <c r="FI22" i="165"/>
  <c r="FI22" i="177" s="1"/>
  <c r="FJ22" i="165"/>
  <c r="FJ22" i="177" s="1"/>
  <c r="FH22"/>
  <c r="BL22" i="165"/>
  <c r="BL22" i="177" s="1"/>
  <c r="BJ22"/>
  <c r="BK22" i="165"/>
  <c r="BK22" i="177" s="1"/>
  <c r="AF17" i="165"/>
  <c r="AF17" i="177" s="1"/>
  <c r="AK17"/>
  <c r="AG17" i="165"/>
  <c r="AG17" i="177" s="1"/>
  <c r="AE17" i="165"/>
  <c r="AE17" i="177" s="1"/>
  <c r="AH17" i="165"/>
  <c r="AH17" i="177" s="1"/>
  <c r="CM17"/>
  <c r="CK17" i="165"/>
  <c r="CK17" i="177" s="1"/>
  <c r="CL17" i="165"/>
  <c r="CL17" i="177" s="1"/>
  <c r="AJ17" i="165"/>
  <c r="AJ17" i="177" s="1"/>
  <c r="AI17" i="165"/>
  <c r="AI17" i="177" s="1"/>
  <c r="AM17"/>
  <c r="EQ17" i="165"/>
  <c r="EQ17" i="177" s="1"/>
  <c r="ER17" i="165"/>
  <c r="ER17" i="177" s="1"/>
  <c r="ES17"/>
  <c r="BD17" i="165"/>
  <c r="BD17" i="177" s="1"/>
  <c r="BE17"/>
  <c r="BC17" i="165"/>
  <c r="BC17" i="177"/>
  <c r="AY17" i="165"/>
  <c r="AY17" i="177"/>
  <c r="AX17" i="165"/>
  <c r="AX17" i="177"/>
  <c r="AZ17"/>
  <c r="CW12" i="165"/>
  <c r="CW12" i="177" s="1"/>
  <c r="DA12"/>
  <c r="DC27"/>
  <c r="CZ27" i="165"/>
  <c r="CZ27" i="177" s="1"/>
  <c r="CY27" i="165"/>
  <c r="CY27" i="177" s="1"/>
  <c r="DN27" i="165"/>
  <c r="DN27" i="177" s="1"/>
  <c r="DO27" i="165"/>
  <c r="DO27" i="177" s="1"/>
  <c r="DP27"/>
  <c r="AI27" i="165"/>
  <c r="AI27" i="177"/>
  <c r="AJ27" i="165"/>
  <c r="AJ27" i="177"/>
  <c r="AM27"/>
  <c r="FS142" i="129"/>
  <c r="FS135"/>
  <c r="DO18" i="165"/>
  <c r="DO18" i="177" s="1"/>
  <c r="EG19" i="165"/>
  <c r="EG19" i="177" s="1"/>
  <c r="CF18" i="165"/>
  <c r="CF18" i="177" s="1"/>
  <c r="CH18"/>
  <c r="BN19" i="165"/>
  <c r="BN19" i="177" s="1"/>
  <c r="BM19" i="165"/>
  <c r="BM19" i="177" s="1"/>
  <c r="BN20" i="165"/>
  <c r="BN20" i="177" s="1"/>
  <c r="BS20"/>
  <c r="CV18" i="165"/>
  <c r="CV18" i="177" s="1"/>
  <c r="EH19" i="165"/>
  <c r="EH19" i="177" s="1"/>
  <c r="CW20" i="165"/>
  <c r="CW20" i="177" s="1"/>
  <c r="CX20" i="165"/>
  <c r="CX20" i="177" s="1"/>
  <c r="DA20"/>
  <c r="AG20" i="165"/>
  <c r="AG20" i="177" s="1"/>
  <c r="BD24" i="165"/>
  <c r="BD24" i="177" s="1"/>
  <c r="AU24"/>
  <c r="ES24"/>
  <c r="DU18" i="165"/>
  <c r="DT18" s="1"/>
  <c r="DT18" i="177" s="1"/>
  <c r="FC18" i="165"/>
  <c r="CM18"/>
  <c r="DL18"/>
  <c r="DL18" i="177" s="1"/>
  <c r="BF18" i="165"/>
  <c r="BF18" i="177" s="1"/>
  <c r="AZ18" i="165"/>
  <c r="AX18" s="1"/>
  <c r="AX18" i="177" s="1"/>
  <c r="ET18" i="165"/>
  <c r="ET18" i="177"/>
  <c r="EI18" i="165"/>
  <c r="EC18"/>
  <c r="EC18" i="177" s="1"/>
  <c r="DC18" i="165"/>
  <c r="CZ18" s="1"/>
  <c r="CZ18" i="177" s="1"/>
  <c r="ES18" i="165"/>
  <c r="EQ18" s="1"/>
  <c r="EQ18" i="177" s="1"/>
  <c r="AK18" i="165"/>
  <c r="AG18" s="1"/>
  <c r="AG18" i="177" s="1"/>
  <c r="EL18" i="165"/>
  <c r="EL18" i="177"/>
  <c r="CI18" i="165"/>
  <c r="CI18" i="177"/>
  <c r="AV18" i="165"/>
  <c r="AV18" i="177"/>
  <c r="BA18" i="165"/>
  <c r="BA18" i="177"/>
  <c r="CN18" i="165"/>
  <c r="CN18" i="177"/>
  <c r="DV18" i="165"/>
  <c r="DV18" i="177"/>
  <c r="BS18" i="165"/>
  <c r="BP18"/>
  <c r="BP18" i="177" s="1"/>
  <c r="EG24" i="165"/>
  <c r="EG24" i="177" s="1"/>
  <c r="GI163" i="129"/>
  <c r="GI170"/>
  <c r="EO133"/>
  <c r="AF134"/>
  <c r="AO137"/>
  <c r="BB139"/>
  <c r="BL143"/>
  <c r="FS143" s="1"/>
  <c r="AW147"/>
  <c r="BW136"/>
  <c r="AF133"/>
  <c r="AO133"/>
  <c r="BG137"/>
  <c r="BD139"/>
  <c r="AO146"/>
  <c r="AF147"/>
  <c r="AF148"/>
  <c r="BG136"/>
  <c r="BD141"/>
  <c r="DE141"/>
  <c r="CO144"/>
  <c r="BW150"/>
  <c r="BB136"/>
  <c r="BG138"/>
  <c r="AW139"/>
  <c r="AF141"/>
  <c r="AW145"/>
  <c r="AO147"/>
  <c r="BB147"/>
  <c r="AT148"/>
  <c r="BG148"/>
  <c r="BB150"/>
  <c r="EM145"/>
  <c r="FE148"/>
  <c r="CO148"/>
  <c r="AH134"/>
  <c r="AO134"/>
  <c r="AW138"/>
  <c r="AY139"/>
  <c r="BG141"/>
  <c r="AF144"/>
  <c r="BG144"/>
  <c r="EM134"/>
  <c r="DT137"/>
  <c r="AF136"/>
  <c r="AH18" i="165"/>
  <c r="AH18" i="177"/>
  <c r="AE18" i="165"/>
  <c r="AE18" i="177"/>
  <c r="DU18"/>
  <c r="ER18" i="165"/>
  <c r="ER18" i="177" s="1"/>
  <c r="CM18"/>
  <c r="CL18" i="165"/>
  <c r="CL18" i="177" s="1"/>
  <c r="CK18" i="165"/>
  <c r="CK18" i="177" s="1"/>
  <c r="CY18" i="165"/>
  <c r="CY18" i="177" s="1"/>
  <c r="AZ18"/>
  <c r="EI18"/>
  <c r="FA18" i="165"/>
  <c r="FA18" i="177" s="1"/>
  <c r="FC18"/>
  <c r="FB18" i="165"/>
  <c r="FB18" i="177" s="1"/>
  <c r="BM18" i="165"/>
  <c r="BM18" i="177" s="1"/>
  <c r="DA18"/>
  <c r="CU18" i="165"/>
  <c r="CU18" i="177" s="1"/>
  <c r="GI140" i="129"/>
  <c r="CI26" i="165"/>
  <c r="CI26" i="177"/>
  <c r="AM25" i="165"/>
  <c r="BH21"/>
  <c r="BH21" i="177" s="1"/>
  <c r="AU25" i="165"/>
  <c r="BF25"/>
  <c r="BF25" i="177" s="1"/>
  <c r="AW25" i="165"/>
  <c r="AW25" i="177" s="1"/>
  <c r="BA25" i="165"/>
  <c r="BA25" i="177" s="1"/>
  <c r="AR13" i="165"/>
  <c r="AR13" i="177" s="1"/>
  <c r="DQ15" i="165"/>
  <c r="DQ15" i="177" s="1"/>
  <c r="EL13"/>
  <c r="DW17" i="165"/>
  <c r="DW17" i="177" s="1"/>
  <c r="FE23" i="165"/>
  <c r="FE23" i="177" s="1"/>
  <c r="EL29" i="165"/>
  <c r="EL29" i="177" s="1"/>
  <c r="EU25" i="165"/>
  <c r="EU25" i="177" s="1"/>
  <c r="DR25" i="165"/>
  <c r="DR25" i="177" s="1"/>
  <c r="DA13" i="165"/>
  <c r="BU25"/>
  <c r="EL25"/>
  <c r="EL25" i="177" s="1"/>
  <c r="CC25" i="165"/>
  <c r="BW25"/>
  <c r="BW25" i="177"/>
  <c r="DW25" i="165"/>
  <c r="DW25" i="177"/>
  <c r="FD25" i="165"/>
  <c r="FD25" i="177"/>
  <c r="DL25" i="165"/>
  <c r="DL25" i="177"/>
  <c r="EX25" i="165"/>
  <c r="DU25"/>
  <c r="CH25"/>
  <c r="DQ25"/>
  <c r="DQ25" i="177" s="1"/>
  <c r="CD25" i="165"/>
  <c r="CD25" i="177" s="1"/>
  <c r="EK25" i="165"/>
  <c r="DC25"/>
  <c r="DV25"/>
  <c r="DV25" i="177" s="1"/>
  <c r="EI25" i="165"/>
  <c r="FE25"/>
  <c r="FE25" i="177" s="1"/>
  <c r="BA23" i="165"/>
  <c r="BA23" i="177" s="1"/>
  <c r="CO29" i="165"/>
  <c r="CO29" i="177" s="1"/>
  <c r="EL14" i="165"/>
  <c r="EL14" i="177" s="1"/>
  <c r="DW15" i="165"/>
  <c r="DW15" i="177" s="1"/>
  <c r="DC18"/>
  <c r="AF18" i="165"/>
  <c r="AF18" i="177" s="1"/>
  <c r="AK18"/>
  <c r="AI18" i="165"/>
  <c r="AI18" i="177" s="1"/>
  <c r="BU11"/>
  <c r="DZ21" i="165"/>
  <c r="EI15"/>
  <c r="BW12"/>
  <c r="BR12" s="1"/>
  <c r="BR12" i="177" s="1"/>
  <c r="EM12" i="165"/>
  <c r="EM12" i="177" s="1"/>
  <c r="EM14" i="165"/>
  <c r="EM14" i="177" s="1"/>
  <c r="FE27" i="165"/>
  <c r="FE27" i="177" s="1"/>
  <c r="EM28" i="165"/>
  <c r="EM28" i="177" s="1"/>
  <c r="AW20" i="165"/>
  <c r="AW20" i="177" s="1"/>
  <c r="BW12"/>
  <c r="BP12" i="165"/>
  <c r="BP12" i="177"/>
  <c r="BO18" i="165"/>
  <c r="BO18" i="177"/>
  <c r="BN18" i="165"/>
  <c r="BN18" i="177"/>
  <c r="BS18"/>
  <c r="AO13"/>
  <c r="AY18" i="165"/>
  <c r="AY18" i="177"/>
  <c r="ES18"/>
  <c r="DS18" i="165"/>
  <c r="DS18" i="177" s="1"/>
  <c r="AJ18" i="165"/>
  <c r="AJ18" i="177" s="1"/>
  <c r="AS18" i="165"/>
  <c r="AS18" i="177" s="1"/>
  <c r="DP18"/>
  <c r="DN18" i="165"/>
  <c r="DN18" i="177" s="1"/>
  <c r="AM19"/>
  <c r="AI19" i="165"/>
  <c r="AI19" i="177" s="1"/>
  <c r="CC20"/>
  <c r="CA20" i="165"/>
  <c r="CA20" i="177"/>
  <c r="CB20" i="165"/>
  <c r="CB20" i="177"/>
  <c r="ER29" i="165"/>
  <c r="ER29" i="177"/>
  <c r="ES29"/>
  <c r="BQ13" i="165"/>
  <c r="BQ13" i="177" s="1"/>
  <c r="DS19" i="165"/>
  <c r="DS19" i="177" s="1"/>
  <c r="DT19" i="165"/>
  <c r="DT19" i="177" s="1"/>
  <c r="DU19"/>
  <c r="FC20"/>
  <c r="DU24"/>
  <c r="AM24"/>
  <c r="FC24"/>
  <c r="BR24" i="165"/>
  <c r="BR24" i="177"/>
  <c r="DW16" i="165"/>
  <c r="DW16" i="177" s="1"/>
  <c r="DM16" i="165"/>
  <c r="DM16" i="177" s="1"/>
  <c r="DW18" i="165"/>
  <c r="DW18" i="177" s="1"/>
  <c r="DM18" i="165"/>
  <c r="DM18" i="177" s="1"/>
  <c r="BG18" i="165"/>
  <c r="BG18" i="177" s="1"/>
  <c r="AW18" i="165"/>
  <c r="AW18" i="177" s="1"/>
  <c r="DW19" i="165"/>
  <c r="DW19" i="177" s="1"/>
  <c r="DM19" i="165"/>
  <c r="DM19" i="177" s="1"/>
  <c r="FG22" i="165"/>
  <c r="FG22" i="177" s="1"/>
  <c r="CQ22" i="165"/>
  <c r="CQ22" i="177" s="1"/>
  <c r="DE13"/>
  <c r="FE20" i="165"/>
  <c r="FE20" i="177" s="1"/>
  <c r="CJ20" i="165"/>
  <c r="CJ20" i="177" s="1"/>
  <c r="BG20" i="165"/>
  <c r="BG20" i="177" s="1"/>
  <c r="CO16" i="165"/>
  <c r="CO16" i="177" s="1"/>
  <c r="EM16" i="165"/>
  <c r="EM16" i="177" s="1"/>
  <c r="BW18" i="165"/>
  <c r="BW18" i="177" s="1"/>
  <c r="EM18" i="165"/>
  <c r="EM18" i="177" s="1"/>
  <c r="EM20" i="165"/>
  <c r="EM20" i="177" s="1"/>
  <c r="CQ21" i="165"/>
  <c r="CQ21" i="177" s="1"/>
  <c r="BB25" i="165"/>
  <c r="BB25" i="177" s="1"/>
  <c r="BG25" i="165"/>
  <c r="BG25" i="177" s="1"/>
  <c r="CJ25" i="165"/>
  <c r="CJ25" i="177" s="1"/>
  <c r="DM25" i="165"/>
  <c r="DM25" i="177" s="1"/>
  <c r="EM25" i="165"/>
  <c r="EM25" i="177" s="1"/>
  <c r="BB27" i="165"/>
  <c r="BB27" i="177" s="1"/>
  <c r="BG27" i="165"/>
  <c r="BG27" i="177" s="1"/>
  <c r="CJ27" i="165"/>
  <c r="CJ27" i="177" s="1"/>
  <c r="DM27" i="165"/>
  <c r="DM27" i="177" s="1"/>
  <c r="EM27" i="165"/>
  <c r="EM27" i="177" s="1"/>
  <c r="BB29" i="165"/>
  <c r="BB29" i="177" s="1"/>
  <c r="BG29" i="165"/>
  <c r="BG29" i="177" s="1"/>
  <c r="CJ29" i="165"/>
  <c r="CJ29" i="177" s="1"/>
  <c r="DM29" i="165"/>
  <c r="DM29" i="177" s="1"/>
  <c r="EM29" i="165"/>
  <c r="EM29" i="177" s="1"/>
  <c r="EF18" i="165"/>
  <c r="EF18" i="177" s="1"/>
  <c r="ED18" i="165"/>
  <c r="ED18" i="177" s="1"/>
  <c r="EE18" i="165"/>
  <c r="EE18" i="177" s="1"/>
  <c r="DH13" i="165"/>
  <c r="DH13" i="177" s="1"/>
  <c r="FH21" i="165"/>
  <c r="FG21"/>
  <c r="FG21" i="177" s="1"/>
  <c r="CD15" i="165"/>
  <c r="CD15" i="177" s="1"/>
  <c r="BU23" i="165"/>
  <c r="DV27"/>
  <c r="DV27" i="177"/>
  <c r="DR29" i="165"/>
  <c r="DR29" i="177"/>
  <c r="BW14" i="165"/>
  <c r="BW14" i="177"/>
  <c r="CE15" i="165"/>
  <c r="CE15" i="177"/>
  <c r="DR15" i="165"/>
  <c r="DR15" i="177"/>
  <c r="EU16" i="165"/>
  <c r="EU16" i="177"/>
  <c r="DR16" i="165"/>
  <c r="DR16" i="177"/>
  <c r="DM17" i="165"/>
  <c r="DM17" i="177"/>
  <c r="FE18" i="165"/>
  <c r="FE18" i="177"/>
  <c r="EU18" i="165"/>
  <c r="EU18" i="177" s="1"/>
  <c r="DR18" i="165"/>
  <c r="DR18" i="177" s="1"/>
  <c r="CO18" i="165"/>
  <c r="CO18" i="177" s="1"/>
  <c r="BB18" i="165"/>
  <c r="BB18" i="177" s="1"/>
  <c r="FE17" i="165"/>
  <c r="FE17" i="177" s="1"/>
  <c r="DR17" i="165"/>
  <c r="DR17" i="177" s="1"/>
  <c r="CE17" i="165"/>
  <c r="CE17" i="177" s="1"/>
  <c r="CE19" i="165"/>
  <c r="CE19" i="177" s="1"/>
  <c r="DR19" i="165"/>
  <c r="DR19" i="177" s="1"/>
  <c r="FE19" i="165"/>
  <c r="FE19" i="177" s="1"/>
  <c r="CO20" i="165"/>
  <c r="CO20" i="177" s="1"/>
  <c r="DR20" i="165"/>
  <c r="DR20" i="177" s="1"/>
  <c r="EU20" i="165"/>
  <c r="EU20" i="177" s="1"/>
  <c r="BI22" i="165"/>
  <c r="BI22" i="177" s="1"/>
  <c r="DY22" i="165"/>
  <c r="DY22" i="177" s="1"/>
  <c r="EU23" i="165"/>
  <c r="EU23" i="177" s="1"/>
  <c r="EK24"/>
  <c r="BE20" i="165"/>
  <c r="EZ20"/>
  <c r="EZ20" i="177" s="1"/>
  <c r="ET16" i="165"/>
  <c r="ET16" i="177" s="1"/>
  <c r="DL16" i="165"/>
  <c r="DL16" i="177" s="1"/>
  <c r="AU16" i="165"/>
  <c r="FE16"/>
  <c r="FE16" i="177" s="1"/>
  <c r="AW16" i="165"/>
  <c r="AW16" i="177" s="1"/>
  <c r="BE16" i="165"/>
  <c r="CH16"/>
  <c r="CJ16"/>
  <c r="CJ16" i="177" s="1"/>
  <c r="BG16" i="165"/>
  <c r="BG16" i="177" s="1"/>
  <c r="ES16" i="165"/>
  <c r="DC16"/>
  <c r="EK28"/>
  <c r="BV28"/>
  <c r="BV28" i="177" s="1"/>
  <c r="CC28" i="165"/>
  <c r="EL28"/>
  <c r="EL28" i="177" s="1"/>
  <c r="EI28" i="165"/>
  <c r="DV28"/>
  <c r="DV28" i="177"/>
  <c r="GI143" i="129"/>
  <c r="EH12" i="165"/>
  <c r="EH12" i="177" s="1"/>
  <c r="BW15" i="165"/>
  <c r="BW15" i="177" s="1"/>
  <c r="BV15" i="165"/>
  <c r="BV15" i="177" s="1"/>
  <c r="AU25"/>
  <c r="AS25" i="165"/>
  <c r="AS25" i="177" s="1"/>
  <c r="AT25" i="165"/>
  <c r="AT25" i="177" s="1"/>
  <c r="AM25"/>
  <c r="AI25" i="165"/>
  <c r="AI25" i="177" s="1"/>
  <c r="AJ25" i="165"/>
  <c r="AJ25" i="177" s="1"/>
  <c r="BV24" i="165"/>
  <c r="BV24" i="177" s="1"/>
  <c r="EI15"/>
  <c r="EE15" i="165"/>
  <c r="EE15" i="177" s="1"/>
  <c r="EC15" i="165"/>
  <c r="EC15" i="177" s="1"/>
  <c r="ED15" i="165"/>
  <c r="ED15" i="177" s="1"/>
  <c r="EF15" i="165"/>
  <c r="EF15" i="177" s="1"/>
  <c r="ED25" i="165"/>
  <c r="ED25" i="177" s="1"/>
  <c r="EI25"/>
  <c r="EF25" i="165"/>
  <c r="EF25" i="177"/>
  <c r="EE25" i="165"/>
  <c r="EE25" i="177"/>
  <c r="EC25" i="165"/>
  <c r="EC25" i="177"/>
  <c r="CZ25" i="165"/>
  <c r="CZ25" i="177"/>
  <c r="CY25" i="165"/>
  <c r="CY25" i="177"/>
  <c r="DC25"/>
  <c r="CF25" i="165"/>
  <c r="CF25" i="177" s="1"/>
  <c r="CH25"/>
  <c r="CG25" i="165"/>
  <c r="CG25" i="177" s="1"/>
  <c r="EV25" i="165"/>
  <c r="EV25" i="177" s="1"/>
  <c r="EW25" i="165"/>
  <c r="EW25" i="177" s="1"/>
  <c r="EX25"/>
  <c r="DA13"/>
  <c r="CX13" i="165"/>
  <c r="CX13" i="177" s="1"/>
  <c r="BW26" i="165"/>
  <c r="BW26" i="177" s="1"/>
  <c r="BV26" i="165"/>
  <c r="BV26" i="177" s="1"/>
  <c r="EB21" i="165"/>
  <c r="EB21" i="177" s="1"/>
  <c r="DZ21"/>
  <c r="EA21" i="165"/>
  <c r="EA21" i="177" s="1"/>
  <c r="EG25" i="165"/>
  <c r="EG25" i="177" s="1"/>
  <c r="EK25"/>
  <c r="EH25" i="165"/>
  <c r="EH25" i="177" s="1"/>
  <c r="DS25" i="165"/>
  <c r="DS25" i="177" s="1"/>
  <c r="DU25"/>
  <c r="DT25" i="165"/>
  <c r="DT25" i="177" s="1"/>
  <c r="CB25" i="165"/>
  <c r="CB25" i="177" s="1"/>
  <c r="CA25" i="165"/>
  <c r="CA25" i="177" s="1"/>
  <c r="CC25"/>
  <c r="BR25" i="165"/>
  <c r="BR25" i="177" s="1"/>
  <c r="BQ25" i="165"/>
  <c r="BQ25" i="177" s="1"/>
  <c r="BU25"/>
  <c r="BV20" i="165"/>
  <c r="BV20" i="177" s="1"/>
  <c r="BW23" i="165"/>
  <c r="BW23" i="177" s="1"/>
  <c r="BV23" i="165"/>
  <c r="BV23" i="177" s="1"/>
  <c r="BV16" i="165"/>
  <c r="BV16" i="177" s="1"/>
  <c r="BQ23" i="165"/>
  <c r="BQ23" i="177" s="1"/>
  <c r="BR23" i="165"/>
  <c r="BR23" i="177" s="1"/>
  <c r="BU23"/>
  <c r="FH21"/>
  <c r="FI21" i="165"/>
  <c r="FI21" i="177" s="1"/>
  <c r="FJ21" i="165"/>
  <c r="FJ21" i="177" s="1"/>
  <c r="ED28" i="165"/>
  <c r="ED28" i="177" s="1"/>
  <c r="EF28" i="165"/>
  <c r="EF28" i="177" s="1"/>
  <c r="EE28" i="165"/>
  <c r="EE28" i="177" s="1"/>
  <c r="EC28" i="165"/>
  <c r="EC28" i="177" s="1"/>
  <c r="EI28"/>
  <c r="CC28"/>
  <c r="CA28" i="165"/>
  <c r="CA28" i="177" s="1"/>
  <c r="CB28" i="165"/>
  <c r="CB28" i="177" s="1"/>
  <c r="EH28" i="165"/>
  <c r="EH28" i="177" s="1"/>
  <c r="EG28" i="165"/>
  <c r="EG28" i="177" s="1"/>
  <c r="EK28"/>
  <c r="CY16" i="165"/>
  <c r="CY16" i="177" s="1"/>
  <c r="CZ16" i="165"/>
  <c r="CZ16" i="177" s="1"/>
  <c r="DC16"/>
  <c r="ES16"/>
  <c r="EQ16" i="165"/>
  <c r="EQ16" i="177" s="1"/>
  <c r="ER16" i="165"/>
  <c r="ER16" i="177" s="1"/>
  <c r="BD16" i="165"/>
  <c r="BD16" i="177" s="1"/>
  <c r="BE16"/>
  <c r="BC16" i="165"/>
  <c r="BC16" i="177"/>
  <c r="BC20" i="165"/>
  <c r="BC20" i="177"/>
  <c r="BE20"/>
  <c r="BD20" i="165"/>
  <c r="BD20" i="177" s="1"/>
  <c r="CH16"/>
  <c r="CG16" i="165"/>
  <c r="CG16" i="177" s="1"/>
  <c r="CF16" i="165"/>
  <c r="CF16" i="177" s="1"/>
  <c r="AS16" i="165"/>
  <c r="AS16" i="177" s="1"/>
  <c r="AT16" i="165"/>
  <c r="AT16" i="177" s="1"/>
  <c r="AU16"/>
  <c r="BW24" i="165"/>
  <c r="BW24" i="177" s="1"/>
  <c r="BW20" i="165"/>
  <c r="BW20" i="177" s="1"/>
  <c r="BW16" i="165"/>
  <c r="BW16" i="177" s="1"/>
  <c r="B8" i="118"/>
  <c r="B2" i="211"/>
  <c r="O32" i="177"/>
  <c r="B3" i="211"/>
  <c r="EL11" i="177" l="1"/>
  <c r="DH11"/>
  <c r="FS146" i="129"/>
  <c r="FS138"/>
  <c r="GH50" i="165"/>
  <c r="GI50" s="1"/>
  <c r="EL23"/>
  <c r="EL23" i="177" s="1"/>
  <c r="AZ23" i="165"/>
  <c r="AW23"/>
  <c r="AW23" i="177" s="1"/>
  <c r="BS23" i="165"/>
  <c r="BB23"/>
  <c r="BB23" i="177" s="1"/>
  <c r="DQ29" i="165"/>
  <c r="DQ29" i="177" s="1"/>
  <c r="BS29" i="165"/>
  <c r="DD13"/>
  <c r="EI13"/>
  <c r="AN13"/>
  <c r="BS13"/>
  <c r="BF16"/>
  <c r="BF16" i="177" s="1"/>
  <c r="FD23" i="165"/>
  <c r="FD23" i="177" s="1"/>
  <c r="DR23" i="165"/>
  <c r="DR23" i="177" s="1"/>
  <c r="AV16" i="165"/>
  <c r="AV16" i="177" s="1"/>
  <c r="DA16" i="165"/>
  <c r="EL16"/>
  <c r="EL16" i="177" s="1"/>
  <c r="AM16" i="165"/>
  <c r="EI26"/>
  <c r="DA26"/>
  <c r="CM26"/>
  <c r="CC19"/>
  <c r="DC19"/>
  <c r="BU26"/>
  <c r="DP15"/>
  <c r="FD15"/>
  <c r="FD15" i="177" s="1"/>
  <c r="EK15" i="165"/>
  <c r="BF20"/>
  <c r="BF20" i="177" s="1"/>
  <c r="FE15" i="165"/>
  <c r="FE15" i="177" s="1"/>
  <c r="BA15" i="165"/>
  <c r="BA15" i="177" s="1"/>
  <c r="BF15" i="165"/>
  <c r="BF15" i="177" s="1"/>
  <c r="AM23" i="165"/>
  <c r="DU23"/>
  <c r="DQ23"/>
  <c r="DQ23" i="177" s="1"/>
  <c r="CN23" i="165"/>
  <c r="CN23" i="177" s="1"/>
  <c r="BF19" i="165"/>
  <c r="BF19" i="177" s="1"/>
  <c r="BE26" i="165"/>
  <c r="EU29"/>
  <c r="EU29" i="177" s="1"/>
  <c r="EK13" i="165"/>
  <c r="EP13"/>
  <c r="EP13" i="177" s="1"/>
  <c r="EP11" s="1"/>
  <c r="BW13" i="165"/>
  <c r="AK13"/>
  <c r="AM13"/>
  <c r="EM13"/>
  <c r="EM13" i="177" s="1"/>
  <c r="DC13" i="165"/>
  <c r="BZ13"/>
  <c r="BZ13" i="177" s="1"/>
  <c r="BZ11" s="1"/>
  <c r="ES19" i="165"/>
  <c r="EK26"/>
  <c r="DK16"/>
  <c r="BA16"/>
  <c r="BA16" i="177" s="1"/>
  <c r="CN16" i="165"/>
  <c r="CN16" i="177" s="1"/>
  <c r="BB16" i="165"/>
  <c r="BB16" i="177" s="1"/>
  <c r="AK16" i="165"/>
  <c r="EX16"/>
  <c r="EY26"/>
  <c r="EY26" i="177" s="1"/>
  <c r="EX26" i="165"/>
  <c r="FD26"/>
  <c r="FD26" i="177" s="1"/>
  <c r="BA26" i="165"/>
  <c r="BA26" i="177" s="1"/>
  <c r="DA11"/>
  <c r="EF12" i="165"/>
  <c r="EF12" i="177" s="1"/>
  <c r="FS133" i="129"/>
  <c r="FS134"/>
  <c r="FS139"/>
  <c r="EE13" i="165"/>
  <c r="EE13" i="177" s="1"/>
  <c r="DM15" i="165"/>
  <c r="DM15" i="177" s="1"/>
  <c r="DD50" i="165"/>
  <c r="AN51"/>
  <c r="AN16" s="1"/>
  <c r="AN16" i="177" s="1"/>
  <c r="DD52" i="165"/>
  <c r="AN53"/>
  <c r="AN18" s="1"/>
  <c r="AN18" i="177" s="1"/>
  <c r="DD54" i="165"/>
  <c r="AN55"/>
  <c r="AN20" s="1"/>
  <c r="AN20" i="177" s="1"/>
  <c r="AN58" i="165"/>
  <c r="AN23" s="1"/>
  <c r="AN23" i="177" s="1"/>
  <c r="DD59" i="165"/>
  <c r="AN60"/>
  <c r="AN25" s="1"/>
  <c r="AN25" i="177" s="1"/>
  <c r="DD61" i="165"/>
  <c r="AN62"/>
  <c r="AN27" s="1"/>
  <c r="AN27" i="177" s="1"/>
  <c r="DD63" i="165"/>
  <c r="AN64"/>
  <c r="AN29" s="1"/>
  <c r="AN29" i="177" s="1"/>
  <c r="AY144" i="129"/>
  <c r="FS144" s="1"/>
  <c r="BW145"/>
  <c r="FS145" s="1"/>
  <c r="BD148"/>
  <c r="FS148" s="1"/>
  <c r="AD166"/>
  <c r="GH166" s="1"/>
  <c r="GI166" s="1"/>
  <c r="AD173"/>
  <c r="GH173" s="1"/>
  <c r="GI173" s="1"/>
  <c r="AD177"/>
  <c r="GH177" s="1"/>
  <c r="GI177" s="1"/>
  <c r="DD140"/>
  <c r="DE140" s="1"/>
  <c r="DD145"/>
  <c r="DE145" s="1"/>
  <c r="DD147"/>
  <c r="DE147" s="1"/>
  <c r="DD148"/>
  <c r="DE148" s="1"/>
  <c r="DD149"/>
  <c r="DE149" s="1"/>
  <c r="AI150"/>
  <c r="FS150" s="1"/>
  <c r="EG47" i="165"/>
  <c r="DE47"/>
  <c r="BQ47"/>
  <c r="AO47"/>
  <c r="EH49"/>
  <c r="BR49"/>
  <c r="FB50"/>
  <c r="EU50"/>
  <c r="EU15" s="1"/>
  <c r="EU15" i="177" s="1"/>
  <c r="EZ50" i="165"/>
  <c r="EZ15" s="1"/>
  <c r="EZ15" i="177" s="1"/>
  <c r="EH50" i="165"/>
  <c r="ED50"/>
  <c r="DT50"/>
  <c r="DO50"/>
  <c r="DJ50"/>
  <c r="CO50"/>
  <c r="CO15" s="1"/>
  <c r="CO15" i="177" s="1"/>
  <c r="CG50" i="165"/>
  <c r="CB50"/>
  <c r="BG50"/>
  <c r="BG15" s="1"/>
  <c r="BG15" i="177" s="1"/>
  <c r="BB50" i="165"/>
  <c r="BB15" s="1"/>
  <c r="BB15" i="177" s="1"/>
  <c r="AW50" i="165"/>
  <c r="AW15" s="1"/>
  <c r="AW15" i="177" s="1"/>
  <c r="AN50" i="165"/>
  <c r="AN15" s="1"/>
  <c r="AN15" i="177" s="1"/>
  <c r="DD51" i="165"/>
  <c r="DE51" s="1"/>
  <c r="DE16" s="1"/>
  <c r="DE16" i="177" s="1"/>
  <c r="CE51" i="165"/>
  <c r="CE16" s="1"/>
  <c r="CE16" i="177" s="1"/>
  <c r="BR51" i="165"/>
  <c r="FB52"/>
  <c r="EU52"/>
  <c r="EU17" s="1"/>
  <c r="EU17" i="177" s="1"/>
  <c r="EZ52" i="165"/>
  <c r="EZ17" s="1"/>
  <c r="EZ17" i="177" s="1"/>
  <c r="EH52" i="165"/>
  <c r="ED52"/>
  <c r="DT52"/>
  <c r="DO52"/>
  <c r="DJ52"/>
  <c r="CO52"/>
  <c r="CO17" s="1"/>
  <c r="CO17" i="177" s="1"/>
  <c r="CG52" i="165"/>
  <c r="CB52"/>
  <c r="BG52"/>
  <c r="BG17" s="1"/>
  <c r="BG17" i="177" s="1"/>
  <c r="BB52" i="165"/>
  <c r="BB17" s="1"/>
  <c r="BB17" i="177" s="1"/>
  <c r="AW52" i="165"/>
  <c r="AW17" s="1"/>
  <c r="AW17" i="177" s="1"/>
  <c r="AN52" i="165"/>
  <c r="AN17" s="1"/>
  <c r="AN17" i="177" s="1"/>
  <c r="DD53" i="165"/>
  <c r="CE53"/>
  <c r="CE18" s="1"/>
  <c r="CE18" i="177" s="1"/>
  <c r="BR53" i="165"/>
  <c r="FB54"/>
  <c r="EU54"/>
  <c r="EU19" s="1"/>
  <c r="EU19" i="177" s="1"/>
  <c r="EZ54" i="165"/>
  <c r="EZ19" s="1"/>
  <c r="EZ19" i="177" s="1"/>
  <c r="EH54" i="165"/>
  <c r="ED54"/>
  <c r="DT54"/>
  <c r="DO54"/>
  <c r="DJ54"/>
  <c r="CO54"/>
  <c r="CO19" s="1"/>
  <c r="CO19" i="177" s="1"/>
  <c r="CG54" i="165"/>
  <c r="CB54"/>
  <c r="BG54"/>
  <c r="BG19" s="1"/>
  <c r="BG19" i="177" s="1"/>
  <c r="BB54" i="165"/>
  <c r="BB19" s="1"/>
  <c r="BB19" i="177" s="1"/>
  <c r="AW54" i="165"/>
  <c r="AW19" s="1"/>
  <c r="AW19" i="177" s="1"/>
  <c r="AN54" i="165"/>
  <c r="AN19" s="1"/>
  <c r="AN19" i="177" s="1"/>
  <c r="DD55" i="165"/>
  <c r="CE55"/>
  <c r="CE20" s="1"/>
  <c r="CE20" i="177" s="1"/>
  <c r="BR55" i="165"/>
  <c r="BI56"/>
  <c r="BI21" s="1"/>
  <c r="BI21" i="177" s="1"/>
  <c r="DD58" i="165"/>
  <c r="CE58"/>
  <c r="CE23" s="1"/>
  <c r="CE23" i="177" s="1"/>
  <c r="BR58" i="165"/>
  <c r="FB59"/>
  <c r="EU59"/>
  <c r="EU24" s="1"/>
  <c r="EU24" i="177" s="1"/>
  <c r="EZ59" i="165"/>
  <c r="EZ24" s="1"/>
  <c r="EZ24" i="177" s="1"/>
  <c r="EH59" i="165"/>
  <c r="ED59"/>
  <c r="DT59"/>
  <c r="DO59"/>
  <c r="DJ59"/>
  <c r="CO59"/>
  <c r="CO24" s="1"/>
  <c r="CO24" i="177" s="1"/>
  <c r="CG59" i="165"/>
  <c r="CB59"/>
  <c r="BG59"/>
  <c r="BG24" s="1"/>
  <c r="BG24" i="177" s="1"/>
  <c r="BB59" i="165"/>
  <c r="BB24" s="1"/>
  <c r="BB24" i="177" s="1"/>
  <c r="AW59" i="165"/>
  <c r="AW24" s="1"/>
  <c r="AW24" i="177" s="1"/>
  <c r="AN59" i="165"/>
  <c r="AN24" s="1"/>
  <c r="AN24" i="177" s="1"/>
  <c r="DD60" i="165"/>
  <c r="CE60"/>
  <c r="CE25" s="1"/>
  <c r="CE25" i="177" s="1"/>
  <c r="BR60" i="165"/>
  <c r="FB61"/>
  <c r="EU61"/>
  <c r="EU26" s="1"/>
  <c r="EU26" i="177" s="1"/>
  <c r="EZ61" i="165"/>
  <c r="EZ26" s="1"/>
  <c r="EZ26" i="177" s="1"/>
  <c r="EH61" i="165"/>
  <c r="ED61"/>
  <c r="DT61"/>
  <c r="DO61"/>
  <c r="DJ61"/>
  <c r="CO61"/>
  <c r="CO26" s="1"/>
  <c r="CO26" i="177" s="1"/>
  <c r="CG61" i="165"/>
  <c r="CB61"/>
  <c r="BG61"/>
  <c r="BG26" s="1"/>
  <c r="BG26" i="177" s="1"/>
  <c r="BB61" i="165"/>
  <c r="AW61"/>
  <c r="AW26" s="1"/>
  <c r="AW26" i="177" s="1"/>
  <c r="AN61" i="165"/>
  <c r="AN26" s="1"/>
  <c r="AN26" i="177" s="1"/>
  <c r="DD62" i="165"/>
  <c r="CE62"/>
  <c r="CE27" s="1"/>
  <c r="CE27" i="177" s="1"/>
  <c r="BR62" i="165"/>
  <c r="EU63"/>
  <c r="EU28" s="1"/>
  <c r="EU28" i="177" s="1"/>
  <c r="EZ63" i="165"/>
  <c r="EZ28" s="1"/>
  <c r="EZ28" i="177" s="1"/>
  <c r="EH63" i="165"/>
  <c r="ED63"/>
  <c r="DT63"/>
  <c r="DO63"/>
  <c r="DJ63"/>
  <c r="CO63"/>
  <c r="CO28" s="1"/>
  <c r="CO28" i="177" s="1"/>
  <c r="CG63" i="165"/>
  <c r="CB63"/>
  <c r="BG63"/>
  <c r="BG28" s="1"/>
  <c r="BG28" i="177" s="1"/>
  <c r="BB63" i="165"/>
  <c r="BB28" s="1"/>
  <c r="BB28" i="177" s="1"/>
  <c r="AW63" i="165"/>
  <c r="AW28" s="1"/>
  <c r="AW28" i="177" s="1"/>
  <c r="AN63" i="165"/>
  <c r="AN28" s="1"/>
  <c r="AN28" i="177" s="1"/>
  <c r="DD64" i="165"/>
  <c r="CE64"/>
  <c r="CE29" s="1"/>
  <c r="CE29" i="177" s="1"/>
  <c r="BR64" i="165"/>
  <c r="AR11" i="177"/>
  <c r="BV11"/>
  <c r="G2" i="118"/>
  <c r="G5" i="135"/>
  <c r="FS141" i="129"/>
  <c r="BQ11" i="177"/>
  <c r="EM11"/>
  <c r="AZ16" i="165"/>
  <c r="AZ25"/>
  <c r="CR21"/>
  <c r="BS15"/>
  <c r="BU15"/>
  <c r="CH19"/>
  <c r="CC23"/>
  <c r="ET23"/>
  <c r="ET23" i="177" s="1"/>
  <c r="EK23" i="165"/>
  <c r="GH47"/>
  <c r="BB26"/>
  <c r="BB26" i="177" s="1"/>
  <c r="AV15" i="165"/>
  <c r="AV15" i="177" s="1"/>
  <c r="EI27" i="165"/>
  <c r="AV25"/>
  <c r="AV25" i="177" s="1"/>
  <c r="AK25" i="165"/>
  <c r="BE25"/>
  <c r="BJ21"/>
  <c r="ET15"/>
  <c r="ET15" i="177" s="1"/>
  <c r="CM15" i="165"/>
  <c r="EL19"/>
  <c r="EL19" i="177" s="1"/>
  <c r="EZ23" i="165"/>
  <c r="EZ23" i="177" s="1"/>
  <c r="AO51" i="165"/>
  <c r="AO16" s="1"/>
  <c r="AO16" i="177" s="1"/>
  <c r="FS51" i="165"/>
  <c r="AO53"/>
  <c r="AO18" s="1"/>
  <c r="AO18" i="177" s="1"/>
  <c r="AO55" i="165"/>
  <c r="AO20" s="1"/>
  <c r="AO20" i="177" s="1"/>
  <c r="AO58" i="165"/>
  <c r="AO23" s="1"/>
  <c r="AO23" i="177" s="1"/>
  <c r="AO60" i="165"/>
  <c r="AO25" s="1"/>
  <c r="AO25" i="177" s="1"/>
  <c r="AO62" i="165"/>
  <c r="AO27" s="1"/>
  <c r="AO27" i="177" s="1"/>
  <c r="AO64" i="165"/>
  <c r="AO29" s="1"/>
  <c r="AO29" i="177" s="1"/>
  <c r="EG13" i="165"/>
  <c r="EG13" i="177" s="1"/>
  <c r="AE24" i="165"/>
  <c r="AE24" i="177" s="1"/>
  <c r="AG24" i="165"/>
  <c r="AG24" i="177" s="1"/>
  <c r="GI47" i="165"/>
  <c r="GI49"/>
  <c r="FS57"/>
  <c r="AO50"/>
  <c r="AO15" s="1"/>
  <c r="AO15" i="177" s="1"/>
  <c r="AO52" i="165"/>
  <c r="AO17" s="1"/>
  <c r="AO17" i="177" s="1"/>
  <c r="AO54" i="165"/>
  <c r="AO19" s="1"/>
  <c r="AO19" i="177" s="1"/>
  <c r="AO59" i="165"/>
  <c r="AO24" s="1"/>
  <c r="AO24" i="177" s="1"/>
  <c r="AO61" i="165"/>
  <c r="AO26" s="1"/>
  <c r="AO26" i="177" s="1"/>
  <c r="AO63" i="165"/>
  <c r="AO28" s="1"/>
  <c r="AO28" i="177" s="1"/>
  <c r="GI57" i="165"/>
  <c r="ED47"/>
  <c r="CV47"/>
  <c r="BN47"/>
  <c r="EF49"/>
  <c r="DE49"/>
  <c r="DE14" s="1"/>
  <c r="DE14" i="177" s="1"/>
  <c r="CV49" i="165"/>
  <c r="BP49"/>
  <c r="AO49"/>
  <c r="AO14" s="1"/>
  <c r="AO14" i="177" s="1"/>
  <c r="FJ56" i="165"/>
  <c r="DY56"/>
  <c r="DY21" s="1"/>
  <c r="DY21" i="177" s="1"/>
  <c r="CT56" i="165"/>
  <c r="FS56" s="1"/>
  <c r="DE62" l="1"/>
  <c r="DE27" s="1"/>
  <c r="DE27" i="177" s="1"/>
  <c r="DD27" i="165"/>
  <c r="DD27" i="177" s="1"/>
  <c r="DE60" i="165"/>
  <c r="DE25" s="1"/>
  <c r="DE25" i="177" s="1"/>
  <c r="DD25" i="165"/>
  <c r="DD25" i="177" s="1"/>
  <c r="DE58" i="165"/>
  <c r="DE23" s="1"/>
  <c r="DE23" i="177" s="1"/>
  <c r="DD23" i="165"/>
  <c r="DD23" i="177" s="1"/>
  <c r="DE55" i="165"/>
  <c r="DE20" s="1"/>
  <c r="DE20" i="177" s="1"/>
  <c r="DD20" i="165"/>
  <c r="DD20" i="177" s="1"/>
  <c r="DE53" i="165"/>
  <c r="DE18" s="1"/>
  <c r="DE18" i="177" s="1"/>
  <c r="DD18" i="165"/>
  <c r="DD18" i="177" s="1"/>
  <c r="AJ47" i="165"/>
  <c r="AO12"/>
  <c r="CZ47"/>
  <c r="DE12"/>
  <c r="DE54"/>
  <c r="DE19" s="1"/>
  <c r="DE19" i="177" s="1"/>
  <c r="DD19" i="165"/>
  <c r="DD19" i="177" s="1"/>
  <c r="DE52" i="165"/>
  <c r="DE17" s="1"/>
  <c r="DE17" i="177" s="1"/>
  <c r="DD17" i="165"/>
  <c r="DD17" i="177" s="1"/>
  <c r="DE50" i="165"/>
  <c r="DE15" s="1"/>
  <c r="DE15" i="177" s="1"/>
  <c r="DD15" i="165"/>
  <c r="DD15" i="177" s="1"/>
  <c r="EV16" i="165"/>
  <c r="EV16" i="177" s="1"/>
  <c r="EX16"/>
  <c r="EW16" i="165"/>
  <c r="EW16" i="177" s="1"/>
  <c r="ES19"/>
  <c r="EQ19" i="165"/>
  <c r="EQ19" i="177" s="1"/>
  <c r="ER19" i="165"/>
  <c r="ER19" i="177" s="1"/>
  <c r="DC13"/>
  <c r="DC11" s="1"/>
  <c r="CZ13" i="165"/>
  <c r="CZ13" i="177" s="1"/>
  <c r="CY13" i="165"/>
  <c r="CY13" i="177" s="1"/>
  <c r="AM13"/>
  <c r="AM11" s="1"/>
  <c r="AI13" i="165"/>
  <c r="AI13" i="177" s="1"/>
  <c r="AJ13" i="165"/>
  <c r="AJ13" i="177" s="1"/>
  <c r="BW13"/>
  <c r="BW11" s="1"/>
  <c r="BR13" i="165"/>
  <c r="BR13" i="177" s="1"/>
  <c r="EK13"/>
  <c r="EK11" s="1"/>
  <c r="EG11" s="1"/>
  <c r="EH13" i="165"/>
  <c r="EH13" i="177" s="1"/>
  <c r="BD26" i="165"/>
  <c r="BD26" i="177" s="1"/>
  <c r="BE26"/>
  <c r="BC26" i="165"/>
  <c r="BC26" i="177" s="1"/>
  <c r="DT23" i="165"/>
  <c r="DT23" i="177" s="1"/>
  <c r="DS23" i="165"/>
  <c r="DS23" i="177" s="1"/>
  <c r="DU23"/>
  <c r="EG15" i="165"/>
  <c r="EG15" i="177" s="1"/>
  <c r="EH15" i="165"/>
  <c r="EH15" i="177" s="1"/>
  <c r="EK15"/>
  <c r="DO15" i="165"/>
  <c r="DO15" i="177" s="1"/>
  <c r="DN15" i="165"/>
  <c r="DN15" i="177" s="1"/>
  <c r="DP15"/>
  <c r="DC19"/>
  <c r="CZ19" i="165"/>
  <c r="CZ19" i="177" s="1"/>
  <c r="CY19" i="165"/>
  <c r="CY19" i="177" s="1"/>
  <c r="CM26"/>
  <c r="CL26" i="165"/>
  <c r="CL26" i="177" s="1"/>
  <c r="CK26" i="165"/>
  <c r="CK26" i="177" s="1"/>
  <c r="EC26" i="165"/>
  <c r="EC26" i="177" s="1"/>
  <c r="EI26"/>
  <c r="EE26" i="165"/>
  <c r="EE26" i="177" s="1"/>
  <c r="EF26" i="165"/>
  <c r="EF26" i="177" s="1"/>
  <c r="ED26" i="165"/>
  <c r="ED26" i="177" s="1"/>
  <c r="AG13" i="165"/>
  <c r="AG13" i="177" s="1"/>
  <c r="AN13"/>
  <c r="AN11" s="1"/>
  <c r="DD13"/>
  <c r="DD11" s="1"/>
  <c r="CW13" i="165"/>
  <c r="CW13" i="177" s="1"/>
  <c r="BN23" i="165"/>
  <c r="BN23" i="177" s="1"/>
  <c r="BO23" i="165"/>
  <c r="BO23" i="177" s="1"/>
  <c r="BM23" i="165"/>
  <c r="BM23" i="177" s="1"/>
  <c r="BP23" i="165"/>
  <c r="BP23" i="177" s="1"/>
  <c r="BS23"/>
  <c r="AY23" i="165"/>
  <c r="AY23" i="177" s="1"/>
  <c r="AZ23"/>
  <c r="AX23" i="165"/>
  <c r="AX23" i="177" s="1"/>
  <c r="EH11"/>
  <c r="FS140" i="129"/>
  <c r="FS147"/>
  <c r="CW11" i="177"/>
  <c r="DE64" i="165"/>
  <c r="DE29" s="1"/>
  <c r="DE29" i="177" s="1"/>
  <c r="DD29" i="165"/>
  <c r="DD29" i="177" s="1"/>
  <c r="DE63" i="165"/>
  <c r="DE28" s="1"/>
  <c r="DE28" i="177" s="1"/>
  <c r="DD28" i="165"/>
  <c r="DD28" i="177" s="1"/>
  <c r="DE61" i="165"/>
  <c r="DE26" s="1"/>
  <c r="DE26" i="177" s="1"/>
  <c r="DD26" i="165"/>
  <c r="DD26" i="177" s="1"/>
  <c r="DE59" i="165"/>
  <c r="DE24" s="1"/>
  <c r="DE24" i="177" s="1"/>
  <c r="DD24" i="165"/>
  <c r="DD24" i="177" s="1"/>
  <c r="EX26"/>
  <c r="EV26" i="165"/>
  <c r="EV26" i="177" s="1"/>
  <c r="EW26" i="165"/>
  <c r="EW26" i="177" s="1"/>
  <c r="AG16" i="165"/>
  <c r="AG16" i="177" s="1"/>
  <c r="AF16" i="165"/>
  <c r="AF16" i="177" s="1"/>
  <c r="AK16"/>
  <c r="AE16" i="165"/>
  <c r="AE16" i="177" s="1"/>
  <c r="AH16" i="165"/>
  <c r="AH16" i="177" s="1"/>
  <c r="DK16"/>
  <c r="DI16" i="165"/>
  <c r="DI16" i="177" s="1"/>
  <c r="DJ16" i="165"/>
  <c r="DJ16" i="177" s="1"/>
  <c r="EK26"/>
  <c r="EH26" i="165"/>
  <c r="EH26" i="177" s="1"/>
  <c r="EG26" i="165"/>
  <c r="EG26" i="177" s="1"/>
  <c r="AK13"/>
  <c r="AK11" s="1"/>
  <c r="AG11" s="1"/>
  <c r="AH13" i="165"/>
  <c r="AH13" i="177" s="1"/>
  <c r="AJ23" i="165"/>
  <c r="AJ23" i="177" s="1"/>
  <c r="AI23" i="165"/>
  <c r="AI23" i="177" s="1"/>
  <c r="AM23"/>
  <c r="BQ26" i="165"/>
  <c r="BQ26" i="177" s="1"/>
  <c r="BU26"/>
  <c r="BR26" i="165"/>
  <c r="BR26" i="177" s="1"/>
  <c r="CC19"/>
  <c r="CB19" i="165"/>
  <c r="CB19" i="177" s="1"/>
  <c r="CA19" i="165"/>
  <c r="CA19" i="177" s="1"/>
  <c r="CU26" i="165"/>
  <c r="CU26" i="177" s="1"/>
  <c r="CX26" i="165"/>
  <c r="CX26" i="177" s="1"/>
  <c r="CV26" i="165"/>
  <c r="CV26" i="177" s="1"/>
  <c r="CW26" i="165"/>
  <c r="CW26" i="177" s="1"/>
  <c r="DA26"/>
  <c r="AI16" i="165"/>
  <c r="AI16" i="177" s="1"/>
  <c r="AJ16" i="165"/>
  <c r="AJ16" i="177" s="1"/>
  <c r="AM16"/>
  <c r="CW16" i="165"/>
  <c r="CW16" i="177" s="1"/>
  <c r="CV16" i="165"/>
  <c r="CV16" i="177" s="1"/>
  <c r="CX16" i="165"/>
  <c r="CX16" i="177" s="1"/>
  <c r="CU16" i="165"/>
  <c r="CU16" i="177" s="1"/>
  <c r="DA16"/>
  <c r="BP13" i="165"/>
  <c r="BP13" i="177" s="1"/>
  <c r="BS13"/>
  <c r="BS11" s="1"/>
  <c r="BO11" s="1"/>
  <c r="BO13" i="165"/>
  <c r="BO13" i="177" s="1"/>
  <c r="EF13" i="165"/>
  <c r="EF13" i="177" s="1"/>
  <c r="EI13"/>
  <c r="EI11" s="1"/>
  <c r="EE11" s="1"/>
  <c r="BN29" i="165"/>
  <c r="BN29" i="177" s="1"/>
  <c r="BO29" i="165"/>
  <c r="BO29" i="177" s="1"/>
  <c r="BM29" i="165"/>
  <c r="BM29" i="177" s="1"/>
  <c r="BS29"/>
  <c r="BP29" i="165"/>
  <c r="BP29" i="177" s="1"/>
  <c r="FS47" i="165"/>
  <c r="FS149" i="129"/>
  <c r="DD16" i="165"/>
  <c r="DD16" i="177" s="1"/>
  <c r="AL183" i="129"/>
  <c r="AL189"/>
  <c r="AW184"/>
  <c r="AS184" s="1"/>
  <c r="BC186"/>
  <c r="AY186" s="1"/>
  <c r="BD186"/>
  <c r="AR196"/>
  <c r="BC198"/>
  <c r="AY198" s="1"/>
  <c r="BD197"/>
  <c r="AK189"/>
  <c r="AG189" s="1"/>
  <c r="AL188"/>
  <c r="AL197"/>
  <c r="AQ196"/>
  <c r="AM196" s="1"/>
  <c r="AR197"/>
  <c r="AX189"/>
  <c r="AW187"/>
  <c r="AS187" s="1"/>
  <c r="AW189"/>
  <c r="AS189" s="1"/>
  <c r="AL193"/>
  <c r="AW194"/>
  <c r="AS194" s="1"/>
  <c r="AQ190"/>
  <c r="AM190" s="1"/>
  <c r="AK191"/>
  <c r="AG191" s="1"/>
  <c r="AX186"/>
  <c r="BC187"/>
  <c r="AY187" s="1"/>
  <c r="BD187"/>
  <c r="AK182"/>
  <c r="AG182" s="1"/>
  <c r="AW197"/>
  <c r="AS197" s="1"/>
  <c r="AQ182"/>
  <c r="AM182" s="1"/>
  <c r="AR185"/>
  <c r="AR198"/>
  <c r="AW196"/>
  <c r="AS196" s="1"/>
  <c r="AK187"/>
  <c r="AG187" s="1"/>
  <c r="AX193"/>
  <c r="BD196"/>
  <c r="AL172"/>
  <c r="AK173"/>
  <c r="AG173" s="1"/>
  <c r="AK162"/>
  <c r="AG162" s="1"/>
  <c r="AK161"/>
  <c r="AG161" s="1"/>
  <c r="AK166"/>
  <c r="AG166" s="1"/>
  <c r="AL168"/>
  <c r="AK169"/>
  <c r="AG169" s="1"/>
  <c r="AL169"/>
  <c r="AK164"/>
  <c r="AG164" s="1"/>
  <c r="AK176"/>
  <c r="AG176" s="1"/>
  <c r="AL173"/>
  <c r="AL177"/>
  <c r="AL166"/>
  <c r="AK163"/>
  <c r="AG163" s="1"/>
  <c r="BC191"/>
  <c r="AY191" s="1"/>
  <c r="AX198"/>
  <c r="AR191"/>
  <c r="AR186"/>
  <c r="BD192"/>
  <c r="AX184"/>
  <c r="AW192"/>
  <c r="AS192" s="1"/>
  <c r="AW191"/>
  <c r="AS191" s="1"/>
  <c r="AX199"/>
  <c r="AK183"/>
  <c r="AG183" s="1"/>
  <c r="AQ197"/>
  <c r="AM197" s="1"/>
  <c r="AQ191"/>
  <c r="AM191" s="1"/>
  <c r="BC182"/>
  <c r="AY182" s="1"/>
  <c r="AX197"/>
  <c r="BC195"/>
  <c r="AY195" s="1"/>
  <c r="AL199"/>
  <c r="AK184"/>
  <c r="AG184" s="1"/>
  <c r="AL187"/>
  <c r="AR193"/>
  <c r="BD194"/>
  <c r="AQ194"/>
  <c r="AM194" s="1"/>
  <c r="AR195"/>
  <c r="AL184"/>
  <c r="BD182"/>
  <c r="AX183"/>
  <c r="BD184"/>
  <c r="AX187"/>
  <c r="BD191"/>
  <c r="AX182"/>
  <c r="AR184"/>
  <c r="AL170"/>
  <c r="AK171"/>
  <c r="AG171" s="1"/>
  <c r="AK168"/>
  <c r="AG168" s="1"/>
  <c r="AK196"/>
  <c r="AG196" s="1"/>
  <c r="AX188"/>
  <c r="AQ193"/>
  <c r="AM193" s="1"/>
  <c r="BC192"/>
  <c r="AY192" s="1"/>
  <c r="BD185"/>
  <c r="AQ195"/>
  <c r="AM195" s="1"/>
  <c r="AR190"/>
  <c r="BC196"/>
  <c r="AY196" s="1"/>
  <c r="AL194"/>
  <c r="AK192"/>
  <c r="AG192" s="1"/>
  <c r="AQ189"/>
  <c r="AM189" s="1"/>
  <c r="BC183"/>
  <c r="AY183" s="1"/>
  <c r="BD195"/>
  <c r="AR192"/>
  <c r="AW195"/>
  <c r="AS195" s="1"/>
  <c r="AQ198"/>
  <c r="AM198" s="1"/>
  <c r="AX194"/>
  <c r="AR183"/>
  <c r="BC197"/>
  <c r="AY197" s="1"/>
  <c r="AQ187"/>
  <c r="AM187" s="1"/>
  <c r="AL186"/>
  <c r="AR188"/>
  <c r="AQ183"/>
  <c r="AM183" s="1"/>
  <c r="AQ192"/>
  <c r="AM192" s="1"/>
  <c r="AW182"/>
  <c r="AS182" s="1"/>
  <c r="BC194"/>
  <c r="AY194" s="1"/>
  <c r="AK190"/>
  <c r="AG190" s="1"/>
  <c r="BC189"/>
  <c r="AY189" s="1"/>
  <c r="AL185"/>
  <c r="AL162"/>
  <c r="AL165"/>
  <c r="AK175"/>
  <c r="AG175" s="1"/>
  <c r="AK174"/>
  <c r="AG174" s="1"/>
  <c r="AK167"/>
  <c r="AG167" s="1"/>
  <c r="AX195"/>
  <c r="AX196"/>
  <c r="AW193"/>
  <c r="AS193" s="1"/>
  <c r="AL192"/>
  <c r="AK188"/>
  <c r="AG188" s="1"/>
  <c r="AR187"/>
  <c r="BC185"/>
  <c r="AY185" s="1"/>
  <c r="AL182"/>
  <c r="AW183"/>
  <c r="AS183" s="1"/>
  <c r="AK197"/>
  <c r="AG197" s="1"/>
  <c r="AK194"/>
  <c r="AG194" s="1"/>
  <c r="AR194"/>
  <c r="AL190"/>
  <c r="AQ186"/>
  <c r="AM186" s="1"/>
  <c r="BD199"/>
  <c r="BD189"/>
  <c r="AQ185"/>
  <c r="AM185" s="1"/>
  <c r="BD188"/>
  <c r="AX192"/>
  <c r="AX191"/>
  <c r="AK177"/>
  <c r="AG177" s="1"/>
  <c r="AX185"/>
  <c r="AR182"/>
  <c r="BC184"/>
  <c r="AY184" s="1"/>
  <c r="AR189"/>
  <c r="AK193"/>
  <c r="AG193" s="1"/>
  <c r="AK195"/>
  <c r="AG195" s="1"/>
  <c r="AW185"/>
  <c r="AS185" s="1"/>
  <c r="BD193"/>
  <c r="BD190"/>
  <c r="AL178"/>
  <c r="AL161"/>
  <c r="AL167"/>
  <c r="AL164"/>
  <c r="AK172"/>
  <c r="AG172" s="1"/>
  <c r="AL171"/>
  <c r="AL174"/>
  <c r="AL176"/>
  <c r="AK186"/>
  <c r="AG186" s="1"/>
  <c r="AQ184"/>
  <c r="AM184" s="1"/>
  <c r="AW190"/>
  <c r="AS190" s="1"/>
  <c r="AL196"/>
  <c r="AL191"/>
  <c r="AK185"/>
  <c r="AG185" s="1"/>
  <c r="BC193"/>
  <c r="AY193" s="1"/>
  <c r="BD198"/>
  <c r="BC188"/>
  <c r="AY188" s="1"/>
  <c r="AL195"/>
  <c r="BC190"/>
  <c r="AY190" s="1"/>
  <c r="AR199"/>
  <c r="AQ188"/>
  <c r="AM188" s="1"/>
  <c r="AW186"/>
  <c r="AS186" s="1"/>
  <c r="AL198"/>
  <c r="AX190"/>
  <c r="AW188"/>
  <c r="AS188" s="1"/>
  <c r="BD183"/>
  <c r="AW198"/>
  <c r="AS198" s="1"/>
  <c r="AK198"/>
  <c r="AG198" s="1"/>
  <c r="AK170"/>
  <c r="AG170" s="1"/>
  <c r="AL163"/>
  <c r="CL15" i="165"/>
  <c r="CL15" i="177" s="1"/>
  <c r="CK15" i="165"/>
  <c r="CK15" i="177" s="1"/>
  <c r="CM15"/>
  <c r="BL21" i="165"/>
  <c r="BL21" i="177" s="1"/>
  <c r="BJ21"/>
  <c r="BK21" i="165"/>
  <c r="BK21" i="177" s="1"/>
  <c r="AG25" i="165"/>
  <c r="AG25" i="177" s="1"/>
  <c r="AH25" i="165"/>
  <c r="AH25" i="177" s="1"/>
  <c r="AE25" i="165"/>
  <c r="AE25" i="177" s="1"/>
  <c r="AF25" i="165"/>
  <c r="AF25" i="177" s="1"/>
  <c r="AK25"/>
  <c r="ED27" i="165"/>
  <c r="ED27" i="177" s="1"/>
  <c r="EE27" i="165"/>
  <c r="EE27" i="177" s="1"/>
  <c r="EC27" i="165"/>
  <c r="EC27" i="177" s="1"/>
  <c r="EF27" i="165"/>
  <c r="EF27" i="177" s="1"/>
  <c r="EI27"/>
  <c r="EG23" i="165"/>
  <c r="EG23" i="177" s="1"/>
  <c r="EH23" i="165"/>
  <c r="EH23" i="177" s="1"/>
  <c r="EK23"/>
  <c r="CA23" i="165"/>
  <c r="CA23" i="177" s="1"/>
  <c r="CB23" i="165"/>
  <c r="CB23" i="177" s="1"/>
  <c r="CC23"/>
  <c r="BQ15" i="165"/>
  <c r="BQ15" i="177" s="1"/>
  <c r="BU15"/>
  <c r="BR15" i="165"/>
  <c r="BR15" i="177" s="1"/>
  <c r="CS21" i="165"/>
  <c r="CS21" i="177" s="1"/>
  <c r="CT21" i="165"/>
  <c r="CT21" i="177" s="1"/>
  <c r="CR21"/>
  <c r="AY16" i="165"/>
  <c r="AY16" i="177" s="1"/>
  <c r="AX16" i="165"/>
  <c r="AX16" i="177" s="1"/>
  <c r="AZ16"/>
  <c r="FS49" i="165"/>
  <c r="FS63"/>
  <c r="FS61"/>
  <c r="FS59"/>
  <c r="FS54"/>
  <c r="FS52"/>
  <c r="FS50"/>
  <c r="FS64"/>
  <c r="FS62"/>
  <c r="FS60"/>
  <c r="FS58"/>
  <c r="FS55"/>
  <c r="FS53"/>
  <c r="AL175" i="129"/>
  <c r="BD25" i="165"/>
  <c r="BD25" i="177" s="1"/>
  <c r="BC25" i="165"/>
  <c r="BC25" i="177" s="1"/>
  <c r="BE25"/>
  <c r="CF19" i="165"/>
  <c r="CF19" i="177" s="1"/>
  <c r="CH19"/>
  <c r="CG19" i="165"/>
  <c r="CG19" i="177" s="1"/>
  <c r="BM15" i="165"/>
  <c r="BM15" i="177" s="1"/>
  <c r="BN15" i="165"/>
  <c r="BN15" i="177" s="1"/>
  <c r="BO15" i="165"/>
  <c r="BO15" i="177" s="1"/>
  <c r="BP15" i="165"/>
  <c r="BP15" i="177" s="1"/>
  <c r="BS15"/>
  <c r="AX25" i="165"/>
  <c r="AX25" i="177" s="1"/>
  <c r="AY25" i="165"/>
  <c r="AY25" i="177" s="1"/>
  <c r="AZ25"/>
  <c r="AK165" i="129"/>
  <c r="AG165" s="1"/>
  <c r="EF11" i="177"/>
  <c r="BP11" l="1"/>
  <c r="BR11"/>
  <c r="CY11"/>
  <c r="DE12"/>
  <c r="DE11" s="1"/>
  <c r="CZ12" i="165"/>
  <c r="CZ12" i="177" s="1"/>
  <c r="CX12" i="165"/>
  <c r="CX12" i="177" s="1"/>
  <c r="AO12"/>
  <c r="AO11" s="1"/>
  <c r="AJ12" i="165"/>
  <c r="AJ12" i="177" s="1"/>
  <c r="AH12" i="165"/>
  <c r="AH12" i="177" s="1"/>
  <c r="AI11"/>
  <c r="AH163" i="129"/>
  <c r="AJ163"/>
  <c r="AZ183"/>
  <c r="BB183"/>
  <c r="AT190"/>
  <c r="AV190"/>
  <c r="AN199"/>
  <c r="AP199"/>
  <c r="AJ195"/>
  <c r="AH195"/>
  <c r="AZ198"/>
  <c r="BB198"/>
  <c r="AJ196"/>
  <c r="AH196"/>
  <c r="AJ176"/>
  <c r="AH176"/>
  <c r="AJ171"/>
  <c r="AH171"/>
  <c r="AJ164"/>
  <c r="AH164"/>
  <c r="AH161"/>
  <c r="AJ161"/>
  <c r="AZ190"/>
  <c r="BB190"/>
  <c r="AT185"/>
  <c r="AV185"/>
  <c r="AT191"/>
  <c r="AV191"/>
  <c r="AZ188"/>
  <c r="BB188"/>
  <c r="AZ189"/>
  <c r="BB189"/>
  <c r="AN194"/>
  <c r="AP194"/>
  <c r="AJ182"/>
  <c r="AH182"/>
  <c r="AP187"/>
  <c r="AN187"/>
  <c r="AJ192"/>
  <c r="AH192"/>
  <c r="AT196"/>
  <c r="AV196"/>
  <c r="AH162"/>
  <c r="AJ162"/>
  <c r="AN188"/>
  <c r="AP188"/>
  <c r="AP183"/>
  <c r="AN183"/>
  <c r="AN192"/>
  <c r="AP192"/>
  <c r="AT188"/>
  <c r="AV188"/>
  <c r="AH170"/>
  <c r="AJ170"/>
  <c r="AT182"/>
  <c r="AV182"/>
  <c r="AV187"/>
  <c r="AT187"/>
  <c r="AT183"/>
  <c r="AV183"/>
  <c r="AJ184"/>
  <c r="AH184"/>
  <c r="AP193"/>
  <c r="AN193"/>
  <c r="AT199"/>
  <c r="AV199"/>
  <c r="AZ192"/>
  <c r="BB192"/>
  <c r="AP191"/>
  <c r="AN191"/>
  <c r="AJ166"/>
  <c r="AH166"/>
  <c r="AJ173"/>
  <c r="AH173"/>
  <c r="AJ172"/>
  <c r="AH172"/>
  <c r="AV193"/>
  <c r="AT193"/>
  <c r="AP185"/>
  <c r="AN185"/>
  <c r="AZ187"/>
  <c r="BB187"/>
  <c r="AT186"/>
  <c r="AV186"/>
  <c r="AJ193"/>
  <c r="AH193"/>
  <c r="AN197"/>
  <c r="AP197"/>
  <c r="AH197"/>
  <c r="AJ197"/>
  <c r="BB186"/>
  <c r="AZ186"/>
  <c r="AH183"/>
  <c r="AJ183"/>
  <c r="BK164"/>
  <c r="BK166"/>
  <c r="BK162"/>
  <c r="AH175"/>
  <c r="AJ175"/>
  <c r="AH198"/>
  <c r="AJ198"/>
  <c r="AH191"/>
  <c r="AJ191"/>
  <c r="AJ174"/>
  <c r="AH174"/>
  <c r="AJ167"/>
  <c r="AH167"/>
  <c r="BK167" s="1"/>
  <c r="AJ178"/>
  <c r="AH178"/>
  <c r="BK178" s="1"/>
  <c r="BB193"/>
  <c r="AZ193"/>
  <c r="AN189"/>
  <c r="AP189"/>
  <c r="AP182"/>
  <c r="AN182"/>
  <c r="AT192"/>
  <c r="AV192"/>
  <c r="AZ199"/>
  <c r="BB199"/>
  <c r="AH190"/>
  <c r="AJ190"/>
  <c r="AT195"/>
  <c r="AV195"/>
  <c r="AH165"/>
  <c r="AJ165"/>
  <c r="AH185"/>
  <c r="AJ185"/>
  <c r="AH186"/>
  <c r="AJ186"/>
  <c r="AV194"/>
  <c r="AT194"/>
  <c r="AZ195"/>
  <c r="BB195"/>
  <c r="AJ194"/>
  <c r="AH194"/>
  <c r="AN190"/>
  <c r="AP190"/>
  <c r="BB185"/>
  <c r="AZ185"/>
  <c r="AP184"/>
  <c r="AN184"/>
  <c r="BB191"/>
  <c r="AZ191"/>
  <c r="BB184"/>
  <c r="AZ184"/>
  <c r="AZ182"/>
  <c r="BB182"/>
  <c r="AP195"/>
  <c r="AN195"/>
  <c r="AZ194"/>
  <c r="BB194"/>
  <c r="AJ187"/>
  <c r="AH187"/>
  <c r="AH199"/>
  <c r="AJ199"/>
  <c r="AT197"/>
  <c r="AV197"/>
  <c r="AT184"/>
  <c r="AV184"/>
  <c r="AN186"/>
  <c r="AP186"/>
  <c r="AV198"/>
  <c r="AT198"/>
  <c r="AH177"/>
  <c r="AJ177"/>
  <c r="AJ169"/>
  <c r="AH169"/>
  <c r="AJ168"/>
  <c r="AH168"/>
  <c r="BK168" s="1"/>
  <c r="AZ196"/>
  <c r="BB196"/>
  <c r="AN198"/>
  <c r="AP198"/>
  <c r="AT189"/>
  <c r="AV189"/>
  <c r="AJ188"/>
  <c r="AH188"/>
  <c r="AZ197"/>
  <c r="BB197"/>
  <c r="AP196"/>
  <c r="AN196"/>
  <c r="AJ189"/>
  <c r="AH189"/>
  <c r="BK170"/>
  <c r="BK172"/>
  <c r="BK177"/>
  <c r="BK174"/>
  <c r="BK171"/>
  <c r="BK163"/>
  <c r="BK176"/>
  <c r="BK161"/>
  <c r="BK173"/>
  <c r="AJ11" i="177" l="1"/>
  <c r="AH11"/>
  <c r="CX11"/>
  <c r="CZ11"/>
  <c r="BK169" i="129"/>
  <c r="BK165"/>
  <c r="BK175"/>
</calcChain>
</file>

<file path=xl/comments1.xml><?xml version="1.0" encoding="utf-8"?>
<comments xmlns="http://schemas.openxmlformats.org/spreadsheetml/2006/main">
  <authors>
    <author>vmalkov</author>
  </authors>
  <commentList>
    <comment ref="O39" authorId="0">
      <text>
        <r>
          <rPr>
            <sz val="9"/>
            <color indexed="81"/>
            <rFont val="Tahoma"/>
            <family val="2"/>
            <charset val="204"/>
          </rPr>
          <t>Изменение реквизитов организации, выбранной по данным реестра ФСТ России - двойным щелчком мыши</t>
        </r>
      </text>
    </comment>
    <comment ref="P39" authorId="0">
      <text>
        <r>
          <rPr>
            <sz val="9"/>
            <color indexed="81"/>
            <rFont val="Tahoma"/>
            <family val="2"/>
            <charset val="204"/>
          </rPr>
          <t>Учёт затрат и расхода топлива осуществляется дифференцированно по МО (привязка организаций, котельных, СЦТ к месту оказания услуг)</t>
        </r>
      </text>
    </comment>
    <comment ref="R39" authorId="0">
      <text>
        <r>
          <rPr>
            <sz val="9"/>
            <color indexed="81"/>
            <rFont val="Tahoma"/>
            <family val="2"/>
            <charset val="204"/>
          </rPr>
          <t>Выбор и изменение значения - двойным щелчком мыши</t>
        </r>
      </text>
    </comment>
    <comment ref="T39" authorId="0">
      <text>
        <r>
          <rPr>
            <sz val="9"/>
            <color indexed="81"/>
            <rFont val="Tahoma"/>
            <family val="2"/>
            <charset val="204"/>
          </rPr>
          <t>Является ли организация плательщиком НДС</t>
        </r>
      </text>
    </comment>
  </commentList>
</comments>
</file>

<file path=xl/comments2.xml><?xml version="1.0" encoding="utf-8"?>
<comments xmlns="http://schemas.openxmlformats.org/spreadsheetml/2006/main">
  <authors>
    <author>Мальков</author>
  </authors>
  <commentList>
    <comment ref="H11" authorId="0">
      <text>
        <r>
          <rPr>
            <sz val="9"/>
            <color indexed="81"/>
            <rFont val="Tahoma"/>
            <family val="2"/>
            <charset val="204"/>
          </rPr>
          <t>Вы можете отфильтровать сообщения по приоритету</t>
        </r>
      </text>
    </comment>
  </commentList>
</comments>
</file>

<file path=xl/sharedStrings.xml><?xml version="1.0" encoding="utf-8"?>
<sst xmlns="http://schemas.openxmlformats.org/spreadsheetml/2006/main" count="8192" uniqueCount="1889">
  <si>
    <t>Дата загрузки в отчёт данных мониторинга "Информация о фактически сложившихся ценах и объёмах потребления топлива по итогам за 9 месяцев 2014 года": 27.02.2015 14:48:04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</si>
  <si>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</si>
  <si>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http://www.fstrf.ru/regions/region/showlist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</si>
  <si>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</si>
  <si>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Консультации:</t>
  </si>
  <si>
    <t>Обратиться за помощью</t>
  </si>
  <si>
    <t>Дистрибутивы:</t>
  </si>
  <si>
    <t>Сопровождение:</t>
  </si>
  <si>
    <t>Отчётные формы:</t>
  </si>
  <si>
    <t>Хранилище документов:</t>
  </si>
  <si>
    <t>Руководство по загрузке документов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</si>
  <si>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</si>
  <si>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</si>
  <si>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никогда не проверять наличие обновлений (не рекомендуется)</t>
  </si>
  <si>
    <t>y</t>
  </si>
  <si>
    <r>
      <t xml:space="preserve">Цена натурального топлива </t>
    </r>
    <r>
      <rPr>
        <sz val="8"/>
        <color indexed="10"/>
        <rFont val="Tahoma"/>
        <family val="2"/>
        <charset val="204"/>
      </rPr>
      <t>без учёта транспортировки</t>
    </r>
    <r>
      <rPr>
        <sz val="8"/>
        <rFont val="Tahoma"/>
        <family val="2"/>
        <charset val="204"/>
      </rPr>
      <t xml:space="preserve"> (руб./ед.изм.)</t>
    </r>
  </si>
  <si>
    <r>
      <t xml:space="preserve">Цена натурального топлива </t>
    </r>
    <r>
      <rPr>
        <sz val="8"/>
        <color indexed="10"/>
        <rFont val="Tahoma"/>
        <family val="2"/>
        <charset val="204"/>
      </rPr>
      <t>с учётом транспортировки</t>
    </r>
    <r>
      <rPr>
        <sz val="8"/>
        <rFont val="Tahoma"/>
        <family val="2"/>
        <charset val="204"/>
      </rPr>
      <t xml:space="preserve"> (руб./ед.изм.)</t>
    </r>
  </si>
  <si>
    <r>
      <t xml:space="preserve">Цена условного топлива </t>
    </r>
    <r>
      <rPr>
        <sz val="8"/>
        <color indexed="10"/>
        <rFont val="Tahoma"/>
        <family val="2"/>
        <charset val="204"/>
      </rPr>
      <t>с учётом транспортировки</t>
    </r>
    <r>
      <rPr>
        <sz val="8"/>
        <rFont val="Tahoma"/>
        <family val="2"/>
        <charset val="204"/>
      </rPr>
      <t xml:space="preserve"> (руб./тут)</t>
    </r>
  </si>
  <si>
    <r>
      <t>Средний тариф транзитной транспортировки (руб./тыс.м</t>
    </r>
    <r>
      <rPr>
        <vertAlign val="superscript"/>
        <sz val="8"/>
        <rFont val="Tahoma"/>
        <family val="2"/>
        <charset val="204"/>
      </rPr>
      <t>3</t>
    </r>
    <r>
      <rPr>
        <sz val="8"/>
        <rFont val="Tahoma"/>
        <family val="2"/>
        <charset val="204"/>
      </rPr>
      <t>)</t>
    </r>
  </si>
  <si>
    <r>
      <t>Объём топлива, транспортируемого в транзитном потоке (тыс.м</t>
    </r>
    <r>
      <rPr>
        <vertAlign val="superscript"/>
        <sz val="8"/>
        <rFont val="Tahoma"/>
        <family val="2"/>
        <charset val="204"/>
      </rPr>
      <t>3</t>
    </r>
    <r>
      <rPr>
        <sz val="8"/>
        <rFont val="Tahoma"/>
        <family val="2"/>
        <charset val="204"/>
      </rPr>
      <t>)</t>
    </r>
  </si>
  <si>
    <r>
      <t>Природный газ, сжиженный газ - руб./тыс.м</t>
    </r>
    <r>
      <rPr>
        <vertAlign val="superscript"/>
        <sz val="8"/>
        <rFont val="Tahoma"/>
        <family val="2"/>
        <charset val="204"/>
      </rPr>
      <t>3</t>
    </r>
    <r>
      <rPr>
        <sz val="8"/>
        <rFont val="Tahoma"/>
        <family val="2"/>
        <charset val="204"/>
      </rPr>
      <t>; тыс.м</t>
    </r>
    <r>
      <rPr>
        <vertAlign val="superscript"/>
        <sz val="8"/>
        <rFont val="Tahoma"/>
        <family val="2"/>
        <charset val="204"/>
      </rPr>
      <t>3</t>
    </r>
  </si>
  <si>
    <t>Перейти к загрузке</t>
  </si>
  <si>
    <t>• На рабочем месте должен быть установлен MS Office 2003 SP3,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2007/2010/2013: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</si>
  <si>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SAX_PARSER_FEATURE</t>
  </si>
  <si>
    <t>YES</t>
  </si>
  <si>
    <t>Газовый конденсат, дрова, пеллеты, опилки, торф, сланцы, печное бытовое топливо - руб./т; т</t>
  </si>
  <si>
    <t>Пеллеты</t>
  </si>
  <si>
    <t>• отчёт предназначен для представления информации о фактически сложившихся ценах и объёмах потребления топлива по итогам 12 месяцев 2014 года
• Отчёт от региона в целом должен содержать в себе все организации по данным мониторинга SUMMARY.BALANCE.CALC.TARIFF.WARM.2014.PLAN (данные утверждённого баланса на 2014 год, предоставленный в ФСТ России региональными органами регулирования)
• Выбор организаций осуществляется по данным мониторинга SUMMARY.BALANCE.CALC.TARIFF.WARM.2014.PLAN либо из реестра организаций ФСТ России
• Изменение реквизитов организации, выбранной / добавленной по данным мониторинга SUMMARY.BALANCE.CALC.TARIFF.WARM.2014.PLAN, недоступно, если возникает необходимость исключить (удалить) такую организацию из отчёта от региона, необходимо указать причину (комментарий) в открывающемся поле в колонке G</t>
  </si>
  <si>
    <t>г. Севастополь</t>
  </si>
  <si>
    <t>RU92</t>
  </si>
  <si>
    <t>Севастополь</t>
  </si>
  <si>
    <t>Республика Крым</t>
  </si>
  <si>
    <t>RU82</t>
  </si>
  <si>
    <t>Крым</t>
  </si>
  <si>
    <t>sgubskiy</t>
  </si>
  <si>
    <t>ACCESS GRANTED</t>
  </si>
  <si>
    <t>1</t>
  </si>
  <si>
    <t>Александровский муниципальный район</t>
  </si>
  <si>
    <t>07602000</t>
  </si>
  <si>
    <t>2635060510</t>
  </si>
  <si>
    <t>263501001</t>
  </si>
  <si>
    <t>ГУП СК "Крайтеплоэнерго"</t>
  </si>
  <si>
    <t>Тариф: Носитель - горячая вода (Т) :: Топливо: Газ природный :: Котельная (СЦТ): ГБОУ СПО "Александровский сельскохозяйственный колледж", с. Александровское</t>
  </si>
  <si>
    <t>производство (некомбинированная выработка)+передача+сбыт</t>
  </si>
  <si>
    <t>356304, Ставропольский край, Александровский р-н, с. Александровское, ул. Энгельса, 26 тел 8(86557) 9-19-87 e-mail acxk@acxk.ru</t>
  </si>
  <si>
    <t>2</t>
  </si>
  <si>
    <t>Изобильненский муниципальный район</t>
  </si>
  <si>
    <t>Поселок Рыздвяный</t>
  </si>
  <si>
    <t>07620153</t>
  </si>
  <si>
    <t>5003065767</t>
  </si>
  <si>
    <t>260702001</t>
  </si>
  <si>
    <t>Филиал общества с ограниченной ответственностью "Газпром ПХГ" "Ставропольское управление подземного хранения газа"</t>
  </si>
  <si>
    <t>филиал "Ставропольское УПХГ"</t>
  </si>
  <si>
    <t>Тариф: Носитель - горячая вода (Т) :: Топливо: Газ природный :: Котельная (СЦТ): пос.Рыздвяный</t>
  </si>
  <si>
    <t>3</t>
  </si>
  <si>
    <t>Георгиевский муниципальный район</t>
  </si>
  <si>
    <t>07615000</t>
  </si>
  <si>
    <t>2625800847</t>
  </si>
  <si>
    <t>262501001</t>
  </si>
  <si>
    <t>ООО "Теплосервис-КМВ"</t>
  </si>
  <si>
    <t>производство (некомбинированная выработка)</t>
  </si>
  <si>
    <t>4</t>
  </si>
  <si>
    <t>Минераловодский муниципальный район</t>
  </si>
  <si>
    <t>Побегайловский сельсовет</t>
  </si>
  <si>
    <t>07639419</t>
  </si>
  <si>
    <t>2630019702</t>
  </si>
  <si>
    <t>263001001</t>
  </si>
  <si>
    <t>ГБУЗ СК "ККБМР"</t>
  </si>
  <si>
    <t>Тариф: Носитель - горячая вода (Т) :: Топливо: Газ природный :: Котельная (СЦТ): пос.Кумагорск, Побегайловский сельсовет Минераловодского района</t>
  </si>
  <si>
    <t>5</t>
  </si>
  <si>
    <t>Город Ставрополь</t>
  </si>
  <si>
    <t>07701000</t>
  </si>
  <si>
    <t>2633004373</t>
  </si>
  <si>
    <t>263601001</t>
  </si>
  <si>
    <t>ГБУЗ СК "Краевой клинический кардиологический диспансер"</t>
  </si>
  <si>
    <t>Тариф: Носитель - горячая вода (К) :: Топливо: Газ природный :: Котельная (СЦТ): г.Ставрополь</t>
  </si>
  <si>
    <t>6</t>
  </si>
  <si>
    <t>Туркменский муниципальный район</t>
  </si>
  <si>
    <t>07656000</t>
  </si>
  <si>
    <t>2622003515</t>
  </si>
  <si>
    <t>262201001</t>
  </si>
  <si>
    <t>МУП КХ Туркменского района</t>
  </si>
  <si>
    <t>Тариф: Носитель - горячая вода (Т) :: Топливо: Газ природный :: Котельная (СЦТ): Туркменский район</t>
  </si>
  <si>
    <t>8(86565)2-12-42; mypkh@mail.ru</t>
  </si>
  <si>
    <t>7</t>
  </si>
  <si>
    <t>Город-курорт Пятигорск</t>
  </si>
  <si>
    <t>07727000</t>
  </si>
  <si>
    <t>2632062277</t>
  </si>
  <si>
    <t>263201001</t>
  </si>
  <si>
    <t>ООО "Пятигорсктеплосервис"</t>
  </si>
  <si>
    <t>Тариф: Носитель - горячая вода (К); Носитель - горячая вода (Т) :: Топливо: Газ природный :: Котельная (СЦТ): г.Пятигорск</t>
  </si>
  <si>
    <t>8</t>
  </si>
  <si>
    <t>2632053836</t>
  </si>
  <si>
    <t>ЛПУП  Санаторий "РОДНИК"</t>
  </si>
  <si>
    <t>Тариф: Носитель - горячая вода (Т) :: Топливо: Газ природный :: Котельная (СЦТ): санаторий Родник, г.Пятигорск</t>
  </si>
  <si>
    <t>Город-курорт Кисловодск</t>
  </si>
  <si>
    <t>07715000</t>
  </si>
  <si>
    <t>2634025295</t>
  </si>
  <si>
    <t>263401001</t>
  </si>
  <si>
    <t>Управление Федеральной службы безопасности Российской Федерации по Ставропольскому краю (стационар медико-санитарной части в г. Кисловодске)</t>
  </si>
  <si>
    <t>Тариф: Носитель - горячая вода (Т) :: Топливо: Газ природный :: Котельная (СЦТ): стационар медико-санитарной части УФСБ по СК в г.Кисловодске</t>
  </si>
  <si>
    <t>Не определено</t>
  </si>
  <si>
    <t>[несуществующий ОКТМО]Не определено</t>
  </si>
  <si>
    <t>7714783092</t>
  </si>
  <si>
    <t>774501001</t>
  </si>
  <si>
    <t>ОАО "РЭУ"</t>
  </si>
  <si>
    <t>Тариф: Носитель - горячая вода (Т) :: Топливо: Газ природный :: Котельная (СЦТ): кроме котельной ул.Кулакова, 13 + поставка потребителям покупной тепловой энергии</t>
  </si>
  <si>
    <t>Тариф: Носитель - горячая вода (Т) :: Топливо: Газ природный :: Котельная (СЦТ): пр.Кулакова, 13</t>
  </si>
  <si>
    <t>2633001132</t>
  </si>
  <si>
    <t>закрытое акционерное общество "Пассаж"</t>
  </si>
  <si>
    <t>производство (некомбинированная выработка)+сбыт</t>
  </si>
  <si>
    <t>Город Георгиевск</t>
  </si>
  <si>
    <t>07707000</t>
  </si>
  <si>
    <t>2625012571</t>
  </si>
  <si>
    <t>ОАО "Хлебокомбинат "Георгиевский"</t>
  </si>
  <si>
    <t>Тариф: Носитель - горячая вода (Т) :: Топливо: Газ природный :: Котельная (СЦТ): ОАО "Хлебокомбинат "Георгиевский"</t>
  </si>
  <si>
    <t>Главный инженер Лысенко Станислав Викторович тел(87951)22491</t>
  </si>
  <si>
    <t>2634040279</t>
  </si>
  <si>
    <t>Открытое акционерное общество Научно-производственный концерн "ЭСКОМ"</t>
  </si>
  <si>
    <t>Арзгирский муниципальный район</t>
  </si>
  <si>
    <t>07607000</t>
  </si>
  <si>
    <t>2604000247</t>
  </si>
  <si>
    <t>260401001</t>
  </si>
  <si>
    <t>МУП КХ Арзгирского района</t>
  </si>
  <si>
    <t>Тариф: Носитель - горячая вода (Т) :: Топливо: Газ природный :: Котельная (СЦТ): МУП КХ Арзгирского района</t>
  </si>
  <si>
    <t>16</t>
  </si>
  <si>
    <t>Город Изобильный</t>
  </si>
  <si>
    <t>07620101</t>
  </si>
  <si>
    <t>2636032629</t>
  </si>
  <si>
    <t>ООО «Газпром трансгаз Ставрополь»</t>
  </si>
  <si>
    <t>Тариф: Носитель - горячая вода (Т) :: Котельная (СЦТ): г.Изобильный</t>
  </si>
  <si>
    <t>17</t>
  </si>
  <si>
    <t>2635000092</t>
  </si>
  <si>
    <t>ОАО "Ставропольский радиозавод "Сигнал"</t>
  </si>
  <si>
    <t>Тариф: Носитель - горячая вода (Т) :: Топливо: Газ природный :: Котельная (СЦТ): г.Ставрополь</t>
  </si>
  <si>
    <t>18</t>
  </si>
  <si>
    <t>Город Невинномысск</t>
  </si>
  <si>
    <t>07724000</t>
  </si>
  <si>
    <t>2631803194</t>
  </si>
  <si>
    <t>263101001</t>
  </si>
  <si>
    <t>ООО "Теплоцентр-НШК"</t>
  </si>
  <si>
    <t>Тариф: Носитель - горячая вода (Т); Носитель - отборный пар 2,5 - 7,0 кг/кв.см (Т) :: Топливо: Газ природный :: Вид деятельности: Производство некомбинированная выработка :: Котельная (СЦТ): ООО "Теплоцентр-НШК", г.Невинномысск</t>
  </si>
  <si>
    <t>19</t>
  </si>
  <si>
    <t>2632059130</t>
  </si>
  <si>
    <t>ООО "ТЕХНО-Сервис"</t>
  </si>
  <si>
    <t>21</t>
  </si>
  <si>
    <t>2633002369</t>
  </si>
  <si>
    <t>Закрытое акционерное общество "Гермес-52"</t>
  </si>
  <si>
    <t>тел(8652) -26-56-33</t>
  </si>
  <si>
    <t>22</t>
  </si>
  <si>
    <t>2632055946</t>
  </si>
  <si>
    <t>Государственное казенное учреждение здравоохранения "Ставропольский краевой госпиталь для ветеранов войн"</t>
  </si>
  <si>
    <t>Тариф: Носитель - горячая вода (Т) :: Топливо: Газ природный :: Котельная (СЦТ): Госпиталь для ветеранов войн, г.Пятигорск</t>
  </si>
  <si>
    <t>23</t>
  </si>
  <si>
    <t>Тариф: Носитель - горячая вода (Т) :: Топливо: Газ природный :: Котельная (СЦТ): котельные, эксплуатацию которых ранее осуществляло ООО "Теплоэнергоресурс"</t>
  </si>
  <si>
    <t>24</t>
  </si>
  <si>
    <t>Тариф: Носитель - горячая вода (К); Носитель - горячая вода (Т) :: Топливо: Газ природный :: Котельная (СЦТ): Ставропольский край</t>
  </si>
  <si>
    <t>25</t>
  </si>
  <si>
    <t>Нефтекумский муниципальный район</t>
  </si>
  <si>
    <t>Поселок Затеречный</t>
  </si>
  <si>
    <t>07641153</t>
  </si>
  <si>
    <t>Тариф: Носитель - горячая вода (К) :: Топливо: Газ природный :: Котельная (СЦТ): котлы наружного размещения, ранее эксплуатируемые ООО "ЖКХ пос.Затеречный"</t>
  </si>
  <si>
    <t>26</t>
  </si>
  <si>
    <t>Город-курорт Железноводск</t>
  </si>
  <si>
    <t>07712000</t>
  </si>
  <si>
    <t>2627012954</t>
  </si>
  <si>
    <t>262701001</t>
  </si>
  <si>
    <t>ГБОУ СПО "Железноводский художественно-строительный техникум"</t>
  </si>
  <si>
    <t>Тариф: Носитель - горячая вода (Т) :: Топливо: Газ природный :: Котельная (СЦТ): ГБОУ СПО "Железноводский художественно-строительный техникум"</t>
  </si>
  <si>
    <t>27</t>
  </si>
  <si>
    <t>Курский муниципальный район</t>
  </si>
  <si>
    <t>07633000</t>
  </si>
  <si>
    <t>2612016970</t>
  </si>
  <si>
    <t>261201001</t>
  </si>
  <si>
    <t>МУП КМР СК « ЖКХ Курского района»</t>
  </si>
  <si>
    <t>Тариф: Носитель - горячая вода (Т) :: Топливо: Газ природный :: Котельная (СЦТ): Курский район</t>
  </si>
  <si>
    <t>28</t>
  </si>
  <si>
    <t>Апанасенковский муниципальный район</t>
  </si>
  <si>
    <t>07605000</t>
  </si>
  <si>
    <t>2602004366</t>
  </si>
  <si>
    <t>260201001</t>
  </si>
  <si>
    <t>Муниципальное унитарное предприятие "Жилищно-коммунальногое хозяйство" Апанасенковского муниципального района Ставропольского края</t>
  </si>
  <si>
    <t>Тариф: Носитель - горячая вода (Т); Носитель - отборный пар 2,5 - 7,0 кг/кв.см (Т) :: Топливо: Газ природный :: Котельная (СЦТ): МУП "ЖКХ" Апанасенковского района</t>
  </si>
  <si>
    <t>29</t>
  </si>
  <si>
    <t>Кировский муниципальный район</t>
  </si>
  <si>
    <t>07625000</t>
  </si>
  <si>
    <t>2609014934</t>
  </si>
  <si>
    <t>260901001</t>
  </si>
  <si>
    <t>ГУП СК ЖКХ Кировского района</t>
  </si>
  <si>
    <t>Тариф: Носитель - горячая вода (Т) :: Топливо: Газ природный :: Котельная (СЦТ): Кировский район</t>
  </si>
  <si>
    <t>тел. (879 38) 2-10-94 исполнитель: инженер ПТО: Катрышов Сергей Николаевич</t>
  </si>
  <si>
    <t>30</t>
  </si>
  <si>
    <t>2607000333</t>
  </si>
  <si>
    <t>260701001</t>
  </si>
  <si>
    <t>ОАО "Завод Атлант"</t>
  </si>
  <si>
    <t>Тариф: Носитель - горячая вода (Т) :: Топливо: Газ природный :: Котельная (СЦТ): г.Изобильный</t>
  </si>
  <si>
    <t>31</t>
  </si>
  <si>
    <t>Город Лермонтов</t>
  </si>
  <si>
    <t>07718000</t>
  </si>
  <si>
    <t>7704262319</t>
  </si>
  <si>
    <t>262902001</t>
  </si>
  <si>
    <t>ЗАО "ЮЭК" филиал в г. Лермонтов Ставропольского края</t>
  </si>
  <si>
    <t>филиал в г. Лермонтове</t>
  </si>
  <si>
    <t>Тариф: Носитель - горячая вода (К); Носитель - отборный пар 2,5 - 7,0 кг/кв.см (К) :: Топливо: Газ природный :: Вид деятельности: Производство комбинированная выработка :: Котельная (СЦТ): Лермонтовская ТЭЦ</t>
  </si>
  <si>
    <t>производство комбинированная выработка</t>
  </si>
  <si>
    <t>32</t>
  </si>
  <si>
    <t>2631002155</t>
  </si>
  <si>
    <t>ОАО "Квант-Энергия"</t>
  </si>
  <si>
    <t>Тариф: Носитель - горячая вода (К) :: Топливо: Газ природный :: Вид деятельности: Производство некомбинированная выработка :: Котельная (СЦТ): ОАО "Квант-Энергия", г.Невинномысск</t>
  </si>
  <si>
    <t>33</t>
  </si>
  <si>
    <t>Грачевский муниципальный район</t>
  </si>
  <si>
    <t>07617000</t>
  </si>
  <si>
    <t>2606000122</t>
  </si>
  <si>
    <t>260601001</t>
  </si>
  <si>
    <t>Муниципальное унитарное предприятие "Коммунальное хозяйство" Грачёвского муниципального района Ставропольского края</t>
  </si>
  <si>
    <t>Тариф: Носитель - горячая вода (Т) :: Топливо: Газ природный :: Котельная (СЦТ): Грачёвский район</t>
  </si>
  <si>
    <t>юридический адрес: 356250, Ставропольский край, Грачевский район, с.Грачевка, ул.Ставропольская, 40. Тел. 8(86540)4-10-06, 8(86540)4-09-80, e-mail Sk26@rambler.ru</t>
  </si>
  <si>
    <t>34</t>
  </si>
  <si>
    <t>2632054854</t>
  </si>
  <si>
    <t>ЛПУП "Пятигорская бальнеогрязелечебница"</t>
  </si>
  <si>
    <t>Тариф: Носитель - горячая вода (Т) :: Топливо: Газ природный :: Котельная (СЦТ): Бальнеогрязелечебница, г.Пятигорск</t>
  </si>
  <si>
    <t>35</t>
  </si>
  <si>
    <t>2624033219</t>
  </si>
  <si>
    <t>262845001</t>
  </si>
  <si>
    <t>ООО "ЛУКОЙЛ-Ставропольэнерго" (Кисловодская ТЭЦ и котельные в г. Кисловодске)</t>
  </si>
  <si>
    <t>Кисловодская ТЭЦ</t>
  </si>
  <si>
    <t>Тариф: Носитель - горячая вода (К) :: Топливо: Газ природный :: Вид деятельности: Производство комбинированная выработка :: Котельная (СЦТ): Кисловодская ТЭЦ</t>
  </si>
  <si>
    <t>г. Кисловодск, ул. Тюленева, 18 87937-28068, Olga.Didenko@lukoil.com</t>
  </si>
  <si>
    <t>36</t>
  </si>
  <si>
    <t>Котельные в г. Кисловодске</t>
  </si>
  <si>
    <t>Тариф: Носитель - горячая вода (Т) :: Топливо: Газ природный :: Котельная (СЦТ): котельная "Запикетная" в г. Кисловодске</t>
  </si>
  <si>
    <t>37</t>
  </si>
  <si>
    <t>2601004596</t>
  </si>
  <si>
    <t>260101001</t>
  </si>
  <si>
    <t>МУП ЖКХ Александровского района</t>
  </si>
  <si>
    <t>Тариф: Носитель - горячая вода (Т) :: Топливо: Газ природный :: Котельная (СЦТ): МУП ЖКХ Аелександровского района</t>
  </si>
  <si>
    <t>38</t>
  </si>
  <si>
    <t>Кочубеевский муниципальный район</t>
  </si>
  <si>
    <t>07628000</t>
  </si>
  <si>
    <t>2610012931</t>
  </si>
  <si>
    <t>261001001</t>
  </si>
  <si>
    <t>МУП СК ЖКХ Кочубеевского района</t>
  </si>
  <si>
    <t>Тариф: Носитель - горячая вода (Т) :: Топливо: Газ природный :: Котельная (СЦТ): Кочубеевский район</t>
  </si>
  <si>
    <t>8(86550) 3-70-94, 2-00-14 (факс)</t>
  </si>
  <si>
    <t>39</t>
  </si>
  <si>
    <t>Степновский муниципальный район</t>
  </si>
  <si>
    <t>07652000</t>
  </si>
  <si>
    <t>2620000580</t>
  </si>
  <si>
    <t>262001001</t>
  </si>
  <si>
    <t>Муниципальное унитарное предприятие "Коммунальное хозяйство" Степновского муниципального района Ставропольского края</t>
  </si>
  <si>
    <t>Тариф: Носитель - горячая вода (Т) :: Топливо: Газ природный :: Котельная (СЦТ): Степновский район</t>
  </si>
  <si>
    <t>40</t>
  </si>
  <si>
    <t>2629005046</t>
  </si>
  <si>
    <t>262901001</t>
  </si>
  <si>
    <t>МУП "Лермонтовгоргаз"</t>
  </si>
  <si>
    <t>Тариф: Носитель - горячая вода (К) :: Топливо: Газ природный :: Котельная (СЦТ): МУП "Лермонтовгоргаз"</t>
  </si>
  <si>
    <t>41</t>
  </si>
  <si>
    <t>2627007954</t>
  </si>
  <si>
    <t>Муниципальное унитарное предприятие "Теплосеть" г. Железноводск</t>
  </si>
  <si>
    <t>Тариф: Носитель - горячая вода (Т) :: Топливо: Газ природный :: Котельная (СЦТ): МУП "Теплосеть", г.Железноводск</t>
  </si>
  <si>
    <t>Московкина Екатерина Павловна (87932)43672</t>
  </si>
  <si>
    <t>42</t>
  </si>
  <si>
    <t>Петровский муниципальный район</t>
  </si>
  <si>
    <t>Село Благодатное</t>
  </si>
  <si>
    <t>07646402</t>
  </si>
  <si>
    <t>2617013148</t>
  </si>
  <si>
    <t>261701001</t>
  </si>
  <si>
    <t>МКП "Надежда" МО с. Благодатное Петровского района Ставропольского края</t>
  </si>
  <si>
    <t>Тариф: Носитель - горячая вода (К) :: Топливо: Газ природный :: Котельная (СЦТ): с.Благодатное</t>
  </si>
  <si>
    <t>356503, Ставропольский край, Петровский район, село Благодатное, ул.Советская, д. 19, тел. (86547)69-888, факс (86547)69-274</t>
  </si>
  <si>
    <t>43</t>
  </si>
  <si>
    <t>Город-курорт Ессентуки</t>
  </si>
  <si>
    <t>07710000</t>
  </si>
  <si>
    <t>2626020720</t>
  </si>
  <si>
    <t>262601001</t>
  </si>
  <si>
    <t>Открытое акционерное общество "Ессентукская Теплосеть"</t>
  </si>
  <si>
    <t>Тариф: Носитель - горячая вода (Т) :: Топливо: Газ природный :: Котельная (СЦТ): ОАО "Ессентукская Теплосеть"</t>
  </si>
  <si>
    <t>357625, Ставропольский край, г.Ессентуки, ул.Пятигорская, д.118, т. 8(87934) 2-30-17</t>
  </si>
  <si>
    <t>44</t>
  </si>
  <si>
    <t>0721009031</t>
  </si>
  <si>
    <t>263145001</t>
  </si>
  <si>
    <t>Открытое акционерное общество "Северо-Кавказская энергоремонтная компания"</t>
  </si>
  <si>
    <t>Тариф: Носитель - горячая вода (К) :: Топливо: Газ природный :: Вид деятельности: Производство некомбинированная выработка :: Котельная (СЦТ): ОАО "СКЭРК", г.Невинномысск</t>
  </si>
  <si>
    <t>45</t>
  </si>
  <si>
    <t>2635095930</t>
  </si>
  <si>
    <t>Открытое акционерное общество "Теплосеть"</t>
  </si>
  <si>
    <t>Тариф: Носитель - горячая вода (К); Носитель - отборный пар 2,5 - 7,0 кг/кв.см (К); Носитель - горячая вода (Т) :: Топливо: Газ природный :: Котельная (СЦТ): г.Ставрополь</t>
  </si>
  <si>
    <t>Начальник Планово-экономического отдела Голованова Екатерина Михайловна тел. (8652) 55-53-49</t>
  </si>
  <si>
    <t>46</t>
  </si>
  <si>
    <t>6671156423</t>
  </si>
  <si>
    <t>263102001</t>
  </si>
  <si>
    <t>Филиал "Невинномысская ГРЭС"  ОАО "Энел Россия"</t>
  </si>
  <si>
    <t>филиал "Невинномысская ГРЭС"</t>
  </si>
  <si>
    <t>Тариф: Носитель - горячая вода (К); Носитель - отборный пар 7 - 13 кг/кв.см (К); Носитель - отборный пар больше 13 кг/кв.см (К); Носитель - острый редуцированный пар (К) :: Топливо: Газ природный :: Вид деятельности: Производство комбинированная выработка :: Котельная (СЦТ): Невинномысская ГРЭС</t>
  </si>
  <si>
    <t>Начальник ПТО Хуторская Лариса Петровна, тел. 8(86554) 5-03-65 Начальник ТЭО Дедиков Виталий Сергеевич, тел. 8(86554) 5-04-53 Факт. адрес: 357107, РФ Ставропольский край г. Невинномысск, ул. Энергетиков 2. Тел.:(86554) 5-03-59, Факс:(86554) 7-86-58 Юр. адрес: 620014, РФ Свердловская область, г. Екатеринбург, ул. Хохрякова ,10</t>
  </si>
  <si>
    <t>47</t>
  </si>
  <si>
    <t>Поселок Солнечнодольск</t>
  </si>
  <si>
    <t>07620155</t>
  </si>
  <si>
    <t>2607018122</t>
  </si>
  <si>
    <t>Филиал ОАО "ОГК-2"-Ставропольская ГРЭС</t>
  </si>
  <si>
    <t>филиал "Ставропольская ГРЭС"</t>
  </si>
  <si>
    <t>Тариф: Носитель - горячая вода (К) :: Топливо: Газ природный :: Вид деятельности: Производство комбинированная выработка :: Котельная (СЦТ): Ставропольская ГРЭС, пос.Солнечнодольск</t>
  </si>
  <si>
    <t>48</t>
  </si>
  <si>
    <t>2627016807</t>
  </si>
  <si>
    <t>Общество с ограниченной ответственностью "Объединение котельных курорта"</t>
  </si>
  <si>
    <t>Тариф: Носитель - горячая вода (Т); Носитель - отборный пар 7 - 13 кг/кв.см (Т) :: Топливо: Газ природный :: Котельная (СЦТ): ООО "ОКК", г.Железноводск</t>
  </si>
  <si>
    <t>49</t>
  </si>
  <si>
    <t>2626027362</t>
  </si>
  <si>
    <t>ООО "Объединение котельных курорта" г.Ессентуки</t>
  </si>
  <si>
    <t>Тариф: Носитель - горячая вода (Т) :: Топливо: Газ природный :: Котельная (СЦТ): ООО "ОКК", г.Ессентуки</t>
  </si>
  <si>
    <t>тел.8-87934-6-42-16 e-mail: pto-kmv@rambler.ru</t>
  </si>
  <si>
    <t>50</t>
  </si>
  <si>
    <t>7736186950</t>
  </si>
  <si>
    <t>263602001</t>
  </si>
  <si>
    <t>Северо-Кавказский филиал ООО "Газпром энерго"</t>
  </si>
  <si>
    <t>Тариф: Носитель - горячая вода (Т) :: Топливо: Газ природный :: Котельная (СЦТ): №1 по ул. Южной и №2 по ул. Советской в пос.Рыздвяном</t>
  </si>
  <si>
    <t>51</t>
  </si>
  <si>
    <t>Северо-Кавказский филиал</t>
  </si>
  <si>
    <t>Тариф: Носитель - горячая вода (Т) :: Топливо: Газ природный :: Котельная (СЦТ): №4 по ул. Восточной, 13 в пос.Рыздвяном</t>
  </si>
  <si>
    <t>52</t>
  </si>
  <si>
    <t>Красногвардейский муниципальный район</t>
  </si>
  <si>
    <t>Привольненский сельсовет</t>
  </si>
  <si>
    <t>07630425</t>
  </si>
  <si>
    <t>Тариф: Носитель - горячая вода (Т) :: Топливо: Газ природный :: Котельная (СЦТ): с.Привольное</t>
  </si>
  <si>
    <t>53</t>
  </si>
  <si>
    <t>Город Светлоград</t>
  </si>
  <si>
    <t>07646101</t>
  </si>
  <si>
    <t>Тариф: Носитель - горячая вода (К) :: Топливо: Газ природный :: Котельная (СЦТ): г.Светлоград</t>
  </si>
  <si>
    <t>54</t>
  </si>
  <si>
    <t>Андроповский муниципальный район</t>
  </si>
  <si>
    <t>Солуно-Дмитриевский сельсовет</t>
  </si>
  <si>
    <t>07632416</t>
  </si>
  <si>
    <t>7701215046</t>
  </si>
  <si>
    <t>525350001</t>
  </si>
  <si>
    <t>ООО "ККЭБСЕ" филиал в селе Солуно-Дмитриевское</t>
  </si>
  <si>
    <t>филиал ООО "Кока-Кола ЭйчБиСи Евразия" в с.Солуно-Димитриевском</t>
  </si>
  <si>
    <t>Тариф: Носитель - горячая вода (Т) :: Топливо: Газ природный :: Котельная (СЦТ): ООО "ККЭБСЕ" филиал в с.Солуно-Дмитриевском</t>
  </si>
  <si>
    <t>55</t>
  </si>
  <si>
    <t>2636032690</t>
  </si>
  <si>
    <t>ООО "Ритм-Б"</t>
  </si>
  <si>
    <t>Тариф: Носитель - отборный пар 7 - 13 кг/кв.см (К); Носитель - горячая вода (Т) :: Топливо: Газ природный :: Котельная (СЦТ): г.Ставрополь</t>
  </si>
  <si>
    <t>56</t>
  </si>
  <si>
    <t>2601009756</t>
  </si>
  <si>
    <t>ООО "Сфера"</t>
  </si>
  <si>
    <t>Тариф: Носитель - горячая вода (Т) :: Топливо: Газ природный :: Котельная (СЦТ): ООО "Сфера", Александровский район</t>
  </si>
  <si>
    <t>57</t>
  </si>
  <si>
    <t>2601009690</t>
  </si>
  <si>
    <t>ООО "Теплый дом"</t>
  </si>
  <si>
    <t>Тариф: Носитель - горячая вода (Т) :: Топливо: Газ природный :: Котельная (СЦТ): ООО "Тёплый дом", Александровский район</t>
  </si>
  <si>
    <t>58</t>
  </si>
  <si>
    <t>2618800660</t>
  </si>
  <si>
    <t>261801001</t>
  </si>
  <si>
    <t>ООО "ЭНЕРГЕТИК" (котельная "Машук" в г. Пятигорске)</t>
  </si>
  <si>
    <t>Тариф: Носитель - горячая вода (Т) :: Топливо: Газ природный :: Котельная (СЦТ): пос.Энергетик, г.Пятигорск</t>
  </si>
  <si>
    <t>Ведущий инженер Звездин Михаил Юрьевич 8793-30-20-95</t>
  </si>
  <si>
    <t>59</t>
  </si>
  <si>
    <t>7708503727</t>
  </si>
  <si>
    <t>616745019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</si>
  <si>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</si>
  <si>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Северо-Кавказская дирекция по тепловодоснабжению</t>
  </si>
  <si>
    <t>Тариф: Носитель - горячая вода (Т) :: Топливо: Газ природный; Мазут :: Котельная (СЦТ): Ставропольский край</t>
  </si>
  <si>
    <t>357200, Ставропольский край, г. Минеральные Воды, ул. Октябрьская,3 тел. 8 (87922) 47-8-58</t>
  </si>
  <si>
    <t>60</t>
  </si>
  <si>
    <t>2634013130</t>
  </si>
  <si>
    <t>ФГБНУ ВНИИОК</t>
  </si>
  <si>
    <t>61</t>
  </si>
  <si>
    <t>151543001</t>
  </si>
  <si>
    <t>ОАО "РЭУ" Филиал Владикавказский</t>
  </si>
  <si>
    <t>62</t>
  </si>
  <si>
    <t>63</t>
  </si>
  <si>
    <t>Город Новопавловск</t>
  </si>
  <si>
    <t>07625101</t>
  </si>
  <si>
    <t>64</t>
  </si>
  <si>
    <t>Комсомольский сельсовет</t>
  </si>
  <si>
    <t>07625407</t>
  </si>
  <si>
    <t>65</t>
  </si>
  <si>
    <t>Город Минеральные Воды</t>
  </si>
  <si>
    <t>07639101</t>
  </si>
  <si>
    <t>66</t>
  </si>
  <si>
    <t>Предгорный муниципальный район</t>
  </si>
  <si>
    <t>Ессентукский сельсовет</t>
  </si>
  <si>
    <t>07648413</t>
  </si>
  <si>
    <t>67</t>
  </si>
  <si>
    <t>Город Буденновск</t>
  </si>
  <si>
    <t>[несуществующий ОКТМО]07702000</t>
  </si>
  <si>
    <t>68</t>
  </si>
  <si>
    <t>Летнеставочный сельсовет</t>
  </si>
  <si>
    <t>07656419</t>
  </si>
  <si>
    <t>69</t>
  </si>
  <si>
    <t>Благодарненский муниципальный район</t>
  </si>
  <si>
    <t>Город Благодарный</t>
  </si>
  <si>
    <t>07610101</t>
  </si>
  <si>
    <t>70</t>
  </si>
  <si>
    <t>71</t>
  </si>
  <si>
    <t>Александровский сельсовет</t>
  </si>
  <si>
    <t>07602402</t>
  </si>
  <si>
    <t>72</t>
  </si>
  <si>
    <t>Арзгирский сельсовет</t>
  </si>
  <si>
    <t>07607402</t>
  </si>
  <si>
    <t>73</t>
  </si>
  <si>
    <t>Новоселицкий муниципальный район</t>
  </si>
  <si>
    <t>07644000</t>
  </si>
  <si>
    <t>74</t>
  </si>
  <si>
    <t>Незлобненский сельсовет</t>
  </si>
  <si>
    <t>07615413</t>
  </si>
  <si>
    <t>75</t>
  </si>
  <si>
    <t>76</t>
  </si>
  <si>
    <t>2632012646</t>
  </si>
  <si>
    <t>Общество с ограниченной ответственностью "Санаторий "Тарханы"</t>
  </si>
  <si>
    <t>Тариф: Носитель - горячая вода (Т) :: Топливо: Газ природный :: Котельная (СЦТ): санаторий Тарханы, г.Пятигорск</t>
  </si>
  <si>
    <t>77</t>
  </si>
  <si>
    <t>2630000067</t>
  </si>
  <si>
    <t>ОАО "Ставропласт"</t>
  </si>
  <si>
    <t>Тариф: Носитель - горячая вода (К) :: Топливо: Газ природный :: Котельная (СЦТ): г.Минеральные Воды</t>
  </si>
  <si>
    <t>78</t>
  </si>
  <si>
    <t>2607012219</t>
  </si>
  <si>
    <t>ОАО "Ставропольсахар"</t>
  </si>
  <si>
    <t>Тариф: Носитель - горячая вода (К); Носитель - отборный пар 2,5 - 7,0 кг/кв.см (К) :: Топливо: Газ природный :: Котельная (СЦТ): г.Изобильный</t>
  </si>
  <si>
    <t>79</t>
  </si>
  <si>
    <t>2625002189</t>
  </si>
  <si>
    <t>Георгиевское муниципальное унитарное предприятие "Теплосеть"</t>
  </si>
  <si>
    <t>Тариф: Носитель - отборный пар 1,2 - 2,5 кг/кв.см (К); Носитель - горячая вода (Т) :: Топливо: Газ природный :: Котельная (СЦТ): Георгиевское МУП "Теплосеть", г.Георгиевск</t>
  </si>
  <si>
    <t>Георгиевское МУП "Теплосеть" тел./факс (8-879-51-2-53-93) форму заполнил- начальник ПТО Арутюнова С. Ю. тел. (8-879-51-2-55-07)</t>
  </si>
  <si>
    <t>80</t>
  </si>
  <si>
    <t>2628008414</t>
  </si>
  <si>
    <t>262801001</t>
  </si>
  <si>
    <t>ОАО "Теплосеть" г. Кисловодск</t>
  </si>
  <si>
    <t>Тариф: Носитель - горячая вода (Т) :: Топливо: Газ природный :: Котельная (СЦТ): ОАО "Теплосеть", г.Кисловодск</t>
  </si>
  <si>
    <t>81</t>
  </si>
  <si>
    <t>2631054298</t>
  </si>
  <si>
    <t>ОАО "Теплосеть" г. Невинномысска</t>
  </si>
  <si>
    <t>Тариф: Носитель - горячая вода (Т) :: Топливо: Газ природный :: Котельная (СЦТ): ОАО "Теплосеть", г.Невинномысск</t>
  </si>
  <si>
    <t>357114, Невинномысск, Бульвар Мира, 36-Б; тал.8(86554)6-74-05; eko_teploset@mail.ru</t>
  </si>
  <si>
    <t>82</t>
  </si>
  <si>
    <t>7722292838</t>
  </si>
  <si>
    <t>263402001</t>
  </si>
  <si>
    <t>Филиал ФГУП "НПО "Микроген" Минздравсоцразвития России "Аллерген" в г.Ставрополь</t>
  </si>
  <si>
    <t>филиал "Аллерген"</t>
  </si>
  <si>
    <t>1.1.1</t>
  </si>
  <si>
    <t>2.1.1</t>
  </si>
  <si>
    <t>3.1.1</t>
  </si>
  <si>
    <t>4.1.1</t>
  </si>
  <si>
    <t>5.1.1</t>
  </si>
  <si>
    <t>6.1.1</t>
  </si>
  <si>
    <t>7.1.1</t>
  </si>
  <si>
    <t>8.1.1</t>
  </si>
  <si>
    <t>9.1.1</t>
  </si>
  <si>
    <t>10.1.1</t>
  </si>
  <si>
    <t>11.1.1</t>
  </si>
  <si>
    <t>12.1.1</t>
  </si>
  <si>
    <t>12.1.2</t>
  </si>
  <si>
    <t>10.7</t>
  </si>
  <si>
    <t>13.1.1</t>
  </si>
  <si>
    <t>14.1.1</t>
  </si>
  <si>
    <t>15.1.1</t>
  </si>
  <si>
    <t>16.1.1</t>
  </si>
  <si>
    <t>17.1.1</t>
  </si>
  <si>
    <t>18.1.1</t>
  </si>
  <si>
    <t>18.1.2</t>
  </si>
  <si>
    <t>19.1.1</t>
  </si>
  <si>
    <t>21.1.1</t>
  </si>
  <si>
    <t>22.1.1</t>
  </si>
  <si>
    <t>23.1.1</t>
  </si>
  <si>
    <t>коьельные, ранее эксплуатируемые ООО "Теплоэнергоресурс"</t>
  </si>
  <si>
    <t>24.1.1</t>
  </si>
  <si>
    <t>25.1.1</t>
  </si>
  <si>
    <t>котлы наружного размещения, ранее эксплуатируемые ООО "ЖКХ пос.Затеречный"</t>
  </si>
  <si>
    <t>26.1.1</t>
  </si>
  <si>
    <t>27.1.1</t>
  </si>
  <si>
    <t>28.1.1</t>
  </si>
  <si>
    <t>29.1.1</t>
  </si>
  <si>
    <t>30.1.1</t>
  </si>
  <si>
    <t>31.1.1</t>
  </si>
  <si>
    <t>31.1.2</t>
  </si>
  <si>
    <t>31.5.1</t>
  </si>
  <si>
    <t>32.1.1</t>
  </si>
  <si>
    <t>33.1.1</t>
  </si>
  <si>
    <t>34.1.1</t>
  </si>
  <si>
    <t>35.1.1</t>
  </si>
  <si>
    <t>36.1.1</t>
  </si>
  <si>
    <t>Запикетная ГПА-ТЭЦ</t>
  </si>
  <si>
    <t>37.1.1</t>
  </si>
  <si>
    <t>38.1.1</t>
  </si>
  <si>
    <t>39.1.1</t>
  </si>
  <si>
    <t>40.1.1</t>
  </si>
  <si>
    <t>41.1.1</t>
  </si>
  <si>
    <t>42.1.1</t>
  </si>
  <si>
    <t>43.1.1</t>
  </si>
  <si>
    <t>44.1.1</t>
  </si>
  <si>
    <t>45.1.1</t>
  </si>
  <si>
    <t>46.1.3</t>
  </si>
  <si>
    <t>46.5.1</t>
  </si>
  <si>
    <t>47.1.1</t>
  </si>
  <si>
    <t>47.5.1</t>
  </si>
  <si>
    <t>47.15.1</t>
  </si>
  <si>
    <t>прочие виды топлива - смесь отработанных масел</t>
  </si>
  <si>
    <t>48.1.1</t>
  </si>
  <si>
    <t>49.1.1</t>
  </si>
  <si>
    <t>50.1.1</t>
  </si>
  <si>
    <t>Котельные № 1, 2 п. Рыздвяный</t>
  </si>
  <si>
    <t>50.1.2</t>
  </si>
  <si>
    <t>51.1.1</t>
  </si>
  <si>
    <t>Котельная № 4 п. Рыздвяный</t>
  </si>
  <si>
    <t>52.1.1</t>
  </si>
  <si>
    <t>52.1.2</t>
  </si>
  <si>
    <t>53.1.1</t>
  </si>
  <si>
    <t>53.1.2</t>
  </si>
  <si>
    <t>54.1.1</t>
  </si>
  <si>
    <t>55.1.1</t>
  </si>
  <si>
    <t>56.1.1</t>
  </si>
  <si>
    <t>57.1.1</t>
  </si>
  <si>
    <t>58.1.1</t>
  </si>
  <si>
    <t>59.1.1</t>
  </si>
  <si>
    <t>59.5.1</t>
  </si>
  <si>
    <t>60.1.1</t>
  </si>
  <si>
    <t>61.1.1</t>
  </si>
  <si>
    <t>62.1.1</t>
  </si>
  <si>
    <t>63.1.1</t>
  </si>
  <si>
    <t>64.1.1</t>
  </si>
  <si>
    <t>65.1.1</t>
  </si>
  <si>
    <t>66.1.1</t>
  </si>
  <si>
    <t>67.1.1</t>
  </si>
  <si>
    <t>68.1.1</t>
  </si>
  <si>
    <t>69.1.1</t>
  </si>
  <si>
    <t>70.1.1</t>
  </si>
  <si>
    <t>71.1.1</t>
  </si>
  <si>
    <t>72.1.1</t>
  </si>
  <si>
    <t>73.1.1</t>
  </si>
  <si>
    <t>74.1.1</t>
  </si>
  <si>
    <t>75.1.1</t>
  </si>
  <si>
    <t>76.1.1</t>
  </si>
  <si>
    <t>77.1.1</t>
  </si>
  <si>
    <t>78.1.1</t>
  </si>
  <si>
    <t>78.1.2</t>
  </si>
  <si>
    <t>79.1.1</t>
  </si>
  <si>
    <t>80.1.1</t>
  </si>
  <si>
    <t>81.1.1</t>
  </si>
  <si>
    <t>82.1.1</t>
  </si>
  <si>
    <t>sce:WARM.TOPL.Q1.2014</t>
  </si>
  <si>
    <t>по орг №50 (Ставропольская ГРЭС) по строке "прочие виды топлива" указан расход смеси отработанных масел. Цена определена делением стоимости ресурса, относимой на комбинированную выработку энергии, на его количество в тоннах</t>
  </si>
  <si>
    <t>sce:WARM.TOPL.Q2.2013</t>
  </si>
  <si>
    <t>Исправлена ошибка в позиции № 14 (ООО «Газпром трансгаз Ставрополь»). В данных за 1-е полугодие организацией ошибочно указан  переводной коэффициент в размере - 1,16. Правильное значение - 1,14.</t>
  </si>
  <si>
    <t>На стадии предзаполнения шаблона, в позиции № 57 (ОАО "РЭУ" Филиал Владикавказский)  был неверно указан объем натурального топлива.</t>
  </si>
  <si>
    <t>sce:WARM.TOPL.Q2.2014</t>
  </si>
  <si>
    <t>по орг №51 (Ставропольская ГРЭС) по строке "прочие виды топлива" указан расход смеси отработанных масел. Цена определена делением стоимости ресурса, относимой на комбинированную выработку энергии, на его количество в тоннах</t>
  </si>
  <si>
    <t>Данная орг была ошибочно  включена в шаблон за 1квартал 2014 г. ДВАЖДЫ (орг №9 и №55), при этом шаблон был сохранён БЕЗ ЗАМЕЧАНИЙ</t>
  </si>
  <si>
    <t>sce:WARM.TOPL.Q3.2014</t>
  </si>
  <si>
    <t>по орг №47 (Ставропольская ГРЭС) по строке "прочие виды топлива" указан расход смеси отработанных масел. Цена определена делением стоимости ресурса, относимой на комбинированную выработку энергии, на его количество в тоннах</t>
  </si>
  <si>
    <t>ГБУЗ "Краевой клинический кардиологический диспансер" ошибочно  включён в шаблон за 9 месяцев 2014 г. ДВАЖДЫ (орг №5 и №20), при этом шаблон был сохранён БЕЗ ЗАМЕЧАНИЙ</t>
  </si>
  <si>
    <t>27.4</t>
  </si>
  <si>
    <t>Тариф: Носитель - горячая вода (Т) :: Топливо: Газ природный :: Котельная (СЦТ): Котельная, ранее эксплуатируемая ГБОУ СПО "Александровский сельскохозяйственный колледж"</t>
  </si>
  <si>
    <t>27.1</t>
  </si>
  <si>
    <t>27.2</t>
  </si>
  <si>
    <t>27.3</t>
  </si>
  <si>
    <t>1.1</t>
  </si>
  <si>
    <t>2.1</t>
  </si>
  <si>
    <t>3.1</t>
  </si>
  <si>
    <t>5.1</t>
  </si>
  <si>
    <t>Буденновский муниципальный район</t>
  </si>
  <si>
    <t>07612101</t>
  </si>
  <si>
    <t>Тариф: Носитель - горячая вода (Т) :: Топливо: Газ природный :: Котельная (СЦТ): №6/25 в г.Будённовске</t>
  </si>
  <si>
    <t>4.1</t>
  </si>
  <si>
    <t>Тариф: Носитель - горячая вода (Т) :: Топливо: Газ природный :: Котельная (СЦТ): №11 и №85 в ст. Незлобной Георгиевского района</t>
  </si>
  <si>
    <t>28.1</t>
  </si>
  <si>
    <t>28.2</t>
  </si>
  <si>
    <t>28.4</t>
  </si>
  <si>
    <t>Тариф: Носитель - горячая вода (Т) :: Топливо: Газ природный :: Вид деятельности: Производство некомбинированная выработка; Передача; Сбыт :: Котельная (СЦТ): ООО "Теплосервис-КМВ"</t>
  </si>
  <si>
    <t>8.2</t>
  </si>
  <si>
    <t>8.1</t>
  </si>
  <si>
    <t>30.6</t>
  </si>
  <si>
    <t>30.3</t>
  </si>
  <si>
    <t>30.4</t>
  </si>
  <si>
    <t>30.5</t>
  </si>
  <si>
    <t>30.2</t>
  </si>
  <si>
    <t>20</t>
  </si>
  <si>
    <t>10.8</t>
  </si>
  <si>
    <t>10.2</t>
  </si>
  <si>
    <t>10.9</t>
  </si>
  <si>
    <t>10.13</t>
  </si>
  <si>
    <t>10.11</t>
  </si>
  <si>
    <t>10.12</t>
  </si>
  <si>
    <t>10.5</t>
  </si>
  <si>
    <t>10.3</t>
  </si>
  <si>
    <t>10.1</t>
  </si>
  <si>
    <t>10.6</t>
  </si>
  <si>
    <t>10.4</t>
  </si>
  <si>
    <t>10.10</t>
  </si>
  <si>
    <t>10.14</t>
  </si>
  <si>
    <t>29.2</t>
  </si>
  <si>
    <t>29.1</t>
  </si>
  <si>
    <t>Тариф: Носитель - горячая вода (К); Носитель - горячая вода (Т) :: Топливо: Газ природный :: Котельная (СЦТ): ОАО "Ессентукская Теплосеть"</t>
  </si>
  <si>
    <t>6.4</t>
  </si>
  <si>
    <t>6.1</t>
  </si>
  <si>
    <t>6.2</t>
  </si>
  <si>
    <t>7.7</t>
  </si>
  <si>
    <t>Тариф: Носитель - горячая вода (Т) :: Топливо: Газ природный :: Котельная (СЦТ): №6 по ул.Энгельса, 23 в г.Кисловодске</t>
  </si>
  <si>
    <t>7.2</t>
  </si>
  <si>
    <t>7.3</t>
  </si>
  <si>
    <t>7.5</t>
  </si>
  <si>
    <t>7.1</t>
  </si>
  <si>
    <t>9.2</t>
  </si>
  <si>
    <t>9.4</t>
  </si>
  <si>
    <t>9.3</t>
  </si>
  <si>
    <t>9.5</t>
  </si>
  <si>
    <t>9.6</t>
  </si>
  <si>
    <t>9.7</t>
  </si>
  <si>
    <t>9.1</t>
  </si>
  <si>
    <t>11.1</t>
  </si>
  <si>
    <t>12.1</t>
  </si>
  <si>
    <t>12.3</t>
  </si>
  <si>
    <t>12.2</t>
  </si>
  <si>
    <t>13.3</t>
  </si>
  <si>
    <t>13.2</t>
  </si>
  <si>
    <t>13.1</t>
  </si>
  <si>
    <t>14.2</t>
  </si>
  <si>
    <t>15.1</t>
  </si>
  <si>
    <t>16.1</t>
  </si>
  <si>
    <t>17.1</t>
  </si>
  <si>
    <t>18.1</t>
  </si>
  <si>
    <t>20.1</t>
  </si>
  <si>
    <t>21.1</t>
  </si>
  <si>
    <t>22.1</t>
  </si>
  <si>
    <t>24.1</t>
  </si>
  <si>
    <t>23.1</t>
  </si>
  <si>
    <t>25.1</t>
  </si>
  <si>
    <t>26.1</t>
  </si>
  <si>
    <t>№ PLAN1X</t>
  </si>
  <si>
    <t>МР</t>
  </si>
  <si>
    <t>МО</t>
  </si>
  <si>
    <t>ОРГАНИЗАЦИЯ</t>
  </si>
  <si>
    <t>ДИФ. УЧЁТ</t>
  </si>
  <si>
    <t>ФИЛИАЛ</t>
  </si>
  <si>
    <t>ДОП. ПРИЗНАКИ</t>
  </si>
  <si>
    <t>ВИД ДЕЯТЕЛЬНОСТИ</t>
  </si>
  <si>
    <t>ПЛАТЕЛЬЩИК НДС</t>
  </si>
  <si>
    <t>МОЩНОСТЬ</t>
  </si>
  <si>
    <t>- данных мониторинга "Плановые показатели организаций ТС на 2014 год": 25.02.2015 11:44:55</t>
  </si>
  <si>
    <t>APRL</t>
  </si>
  <si>
    <t>смесь отработанных масел (орг №47 Ставропольская ГРЭС) цена определена делением стоимости ресурса, относимой на комбинированную выработку энергии, на его количество в тоннах</t>
  </si>
  <si>
    <t>смесь отработанных масел (орг №50 Ставропольская ГРЭС) цена определена делением стоимости ресурса, относимой на комбинированную выработку энергии, на его количество в тоннах</t>
  </si>
  <si>
    <t>Дата загрузки в отчёт данных мониторинга "Плановые показатели организаций ТС на 2014 год": 25.02.2015 11:44:56</t>
  </si>
  <si>
    <t>Калиновский сельсовет</t>
  </si>
  <si>
    <t>07602407</t>
  </si>
  <si>
    <t>Круглолесский сельсовет</t>
  </si>
  <si>
    <t>07602410</t>
  </si>
  <si>
    <t>Новокавказский сельсовет</t>
  </si>
  <si>
    <t>07602413</t>
  </si>
  <si>
    <t>Саблинский сельсовет</t>
  </si>
  <si>
    <t>07602416</t>
  </si>
  <si>
    <t>Село Грушевское</t>
  </si>
  <si>
    <t>07602404</t>
  </si>
  <si>
    <t>Село Северное</t>
  </si>
  <si>
    <t>07602419</t>
  </si>
  <si>
    <t>Средненский сельсовет</t>
  </si>
  <si>
    <t>07602422</t>
  </si>
  <si>
    <t>07632000</t>
  </si>
  <si>
    <t>Водораздельный сельсовет</t>
  </si>
  <si>
    <t>07632402</t>
  </si>
  <si>
    <t>Казинский сельсовет</t>
  </si>
  <si>
    <t>07632406</t>
  </si>
  <si>
    <t>Красноярский сельсовет</t>
  </si>
  <si>
    <t>07632407</t>
  </si>
  <si>
    <t>Курсавский сельсовет</t>
  </si>
  <si>
    <t>07632410</t>
  </si>
  <si>
    <t>Куршавский сельсовет</t>
  </si>
  <si>
    <t>07632412</t>
  </si>
  <si>
    <t>Новоянкульский сельсовет</t>
  </si>
  <si>
    <t>07632414</t>
  </si>
  <si>
    <t>Село Крымгиреевское</t>
  </si>
  <si>
    <t>07632408</t>
  </si>
  <si>
    <t>Село Султан</t>
  </si>
  <si>
    <t>07632419</t>
  </si>
  <si>
    <t>Станица Воровсколесская</t>
  </si>
  <si>
    <t>07632404</t>
  </si>
  <si>
    <t>Янкульский сельсовет</t>
  </si>
  <si>
    <t>07632422</t>
  </si>
  <si>
    <t>Айгурский сельсовет</t>
  </si>
  <si>
    <t>07605402</t>
  </si>
  <si>
    <t>Дербетовский сельсовет</t>
  </si>
  <si>
    <t>07605416</t>
  </si>
  <si>
    <t>Село Апанасенковское</t>
  </si>
  <si>
    <t>07605404</t>
  </si>
  <si>
    <t>Село Белые Копани</t>
  </si>
  <si>
    <t>07605407</t>
  </si>
  <si>
    <t>Село Воздвиженское</t>
  </si>
  <si>
    <t>07605410</t>
  </si>
  <si>
    <t>Село Вознесеновское</t>
  </si>
  <si>
    <t>07605413</t>
  </si>
  <si>
    <t>Село Дивное</t>
  </si>
  <si>
    <t>07605419</t>
  </si>
  <si>
    <t>Село Киевка</t>
  </si>
  <si>
    <t>07605422</t>
  </si>
  <si>
    <t>Село Малая Джалга</t>
  </si>
  <si>
    <t>07605425</t>
  </si>
  <si>
    <t>Село Манычское</t>
  </si>
  <si>
    <t>07605428</t>
  </si>
  <si>
    <t>Село Рагули</t>
  </si>
  <si>
    <t>07605431</t>
  </si>
  <si>
    <t>Новоромановский сельсовет</t>
  </si>
  <si>
    <t>07607404</t>
  </si>
  <si>
    <t>Село Каменная Балка</t>
  </si>
  <si>
    <t>07607403</t>
  </si>
  <si>
    <t>Село Петропавловское</t>
  </si>
  <si>
    <t>07607407</t>
  </si>
  <si>
    <t>Село Родниковское</t>
  </si>
  <si>
    <t>07607410</t>
  </si>
  <si>
    <t>Село Садовое</t>
  </si>
  <si>
    <t>07607413</t>
  </si>
  <si>
    <t>Село Серафимовское</t>
  </si>
  <si>
    <t>07607416</t>
  </si>
  <si>
    <t>Чограйский сельсовет</t>
  </si>
  <si>
    <t>07607422</t>
  </si>
  <si>
    <t>07610000</t>
  </si>
  <si>
    <t>Cело Елизаветинское</t>
  </si>
  <si>
    <t>07610410</t>
  </si>
  <si>
    <t>Александрийский сельсовет</t>
  </si>
  <si>
    <t>07610402</t>
  </si>
  <si>
    <t>Аул Эдельбай</t>
  </si>
  <si>
    <t>07610428</t>
  </si>
  <si>
    <t>Каменнобалковский сельсовет</t>
  </si>
  <si>
    <t>07610413</t>
  </si>
  <si>
    <t>Красноключевский сельсовет</t>
  </si>
  <si>
    <t>07610416</t>
  </si>
  <si>
    <t>Село Алексеевское</t>
  </si>
  <si>
    <t>07610404</t>
  </si>
  <si>
    <t>Село Бурлацкое</t>
  </si>
  <si>
    <t>07610407</t>
  </si>
  <si>
    <t>Село Мирное</t>
  </si>
  <si>
    <t>07610417</t>
  </si>
  <si>
    <t>Село Сотниковское</t>
  </si>
  <si>
    <t>07610419</t>
  </si>
  <si>
    <t>Село Спасское</t>
  </si>
  <si>
    <t>07610422</t>
  </si>
  <si>
    <t>Село Шишкино</t>
  </si>
  <si>
    <t>07610427</t>
  </si>
  <si>
    <t>Ставропольский сельсовет</t>
  </si>
  <si>
    <t>07610425</t>
  </si>
  <si>
    <t>Хутор Большевик</t>
  </si>
  <si>
    <t>07610406</t>
  </si>
  <si>
    <t>07612000</t>
  </si>
  <si>
    <t>Архиповский сельсовет</t>
  </si>
  <si>
    <t>07612404</t>
  </si>
  <si>
    <t>Искровский сельсовет</t>
  </si>
  <si>
    <t>07612407</t>
  </si>
  <si>
    <t>Краснооктябрьский сельсовет</t>
  </si>
  <si>
    <t>07612409</t>
  </si>
  <si>
    <t>Новожизненский сельсовет</t>
  </si>
  <si>
    <t>07612410</t>
  </si>
  <si>
    <t>Орловский сельсовет</t>
  </si>
  <si>
    <t>07612413</t>
  </si>
  <si>
    <t>Покойненский сельсовет</t>
  </si>
  <si>
    <t>07612416</t>
  </si>
  <si>
    <t>Преображенский сельсовет</t>
  </si>
  <si>
    <t>07612420</t>
  </si>
  <si>
    <t>Село Архангельское</t>
  </si>
  <si>
    <t>07612402</t>
  </si>
  <si>
    <t>Село Прасковея</t>
  </si>
  <si>
    <t>07612419</t>
  </si>
  <si>
    <t>Село Толстово-Васюковское</t>
  </si>
  <si>
    <t>07612427</t>
  </si>
  <si>
    <t>Стародубский сельсовет</t>
  </si>
  <si>
    <t>07612422</t>
  </si>
  <si>
    <t>Терский сельсовет</t>
  </si>
  <si>
    <t>07612425</t>
  </si>
  <si>
    <t>Томузловский сельсовет</t>
  </si>
  <si>
    <t>07612429</t>
  </si>
  <si>
    <t>07615402</t>
  </si>
  <si>
    <t>Балковский сельсовет</t>
  </si>
  <si>
    <t>07615403</t>
  </si>
  <si>
    <t>Крутоярский сельсовет</t>
  </si>
  <si>
    <t>07615408</t>
  </si>
  <si>
    <t>Поселок Новый</t>
  </si>
  <si>
    <t>07615415</t>
  </si>
  <si>
    <t>Село Краснокумское</t>
  </si>
  <si>
    <t>07615406</t>
  </si>
  <si>
    <t>Село Новозаведенное</t>
  </si>
  <si>
    <t>07615416</t>
  </si>
  <si>
    <t>Село Обильное</t>
  </si>
  <si>
    <t>07615419</t>
  </si>
  <si>
    <t>Станица Георгиевская</t>
  </si>
  <si>
    <t>07615404</t>
  </si>
  <si>
    <t>Станица Лысогорская</t>
  </si>
  <si>
    <t>07615410</t>
  </si>
  <si>
    <t>Станица Подгорная</t>
  </si>
  <si>
    <t>07615422</t>
  </si>
  <si>
    <t>Ульяновский сельсовет</t>
  </si>
  <si>
    <t>07615425</t>
  </si>
  <si>
    <t>Урухский сельсовет</t>
  </si>
  <si>
    <t>07615428</t>
  </si>
  <si>
    <t>Шаумяновский сельсовет</t>
  </si>
  <si>
    <t>07615431</t>
  </si>
  <si>
    <t>Грачевский сельсовет</t>
  </si>
  <si>
    <t>07617404</t>
  </si>
  <si>
    <t>Красный сельсовет</t>
  </si>
  <si>
    <t>07617407</t>
  </si>
  <si>
    <t>Кугультинский сельсовет</t>
  </si>
  <si>
    <t>07617410</t>
  </si>
  <si>
    <t>Село Бешпагир</t>
  </si>
  <si>
    <t>07617401</t>
  </si>
  <si>
    <t>Село Тугулук</t>
  </si>
  <si>
    <t>07617422</t>
  </si>
  <si>
    <t>Сергиевский сельсовет</t>
  </si>
  <si>
    <t>07617413</t>
  </si>
  <si>
    <t>Спицевский сельсовет</t>
  </si>
  <si>
    <t>07617416</t>
  </si>
  <si>
    <t>Старомарьевский сельсовет</t>
  </si>
  <si>
    <t>07617419</t>
  </si>
  <si>
    <t>07620000</t>
  </si>
  <si>
    <t>Каменнобродский сельсовет</t>
  </si>
  <si>
    <t>07620404</t>
  </si>
  <si>
    <t>Московский сельсовет</t>
  </si>
  <si>
    <t>07620407</t>
  </si>
  <si>
    <t>Новоизобильненский сельсовет</t>
  </si>
  <si>
    <t>07620409</t>
  </si>
  <si>
    <t>Передовой сельсовет</t>
  </si>
  <si>
    <t>07620412</t>
  </si>
  <si>
    <t>Подлужненский сельсовет</t>
  </si>
  <si>
    <t>07620413</t>
  </si>
  <si>
    <t>Рождественский сельсовет</t>
  </si>
  <si>
    <t>07620416</t>
  </si>
  <si>
    <t>Село Птичье</t>
  </si>
  <si>
    <t>07620414</t>
  </si>
  <si>
    <t>Село Тищенское</t>
  </si>
  <si>
    <t>07620422</t>
  </si>
  <si>
    <t>Станица Баклановская</t>
  </si>
  <si>
    <t>07620402</t>
  </si>
  <si>
    <t>Станица Новотроицкая</t>
  </si>
  <si>
    <t>07620410</t>
  </si>
  <si>
    <t>Староизобильненский сельсовет</t>
  </si>
  <si>
    <t>07620419</t>
  </si>
  <si>
    <t>Хутор Спорный</t>
  </si>
  <si>
    <t>07620418</t>
  </si>
  <si>
    <t>Ипатовский муниципальный район</t>
  </si>
  <si>
    <t>07622000</t>
  </si>
  <si>
    <t>Большевистский сельсовет</t>
  </si>
  <si>
    <t>07622402</t>
  </si>
  <si>
    <t>Винодельненский сельсовет</t>
  </si>
  <si>
    <t>07622410</t>
  </si>
  <si>
    <t>Город Ипатово</t>
  </si>
  <si>
    <t>07622101</t>
  </si>
  <si>
    <t>Добровольно-Васильевский сельсовет</t>
  </si>
  <si>
    <t>07622413</t>
  </si>
  <si>
    <t>Золотаревский сельсовет</t>
  </si>
  <si>
    <t>07622416</t>
  </si>
  <si>
    <t>Кевсалинский сельсовет</t>
  </si>
  <si>
    <t>07622422</t>
  </si>
  <si>
    <t>Красочный сельсовет</t>
  </si>
  <si>
    <t>07622425</t>
  </si>
  <si>
    <t>Леснодачненский сельсовет</t>
  </si>
  <si>
    <t>07622427</t>
  </si>
  <si>
    <t>Лиманский сельсовет</t>
  </si>
  <si>
    <t>07622428</t>
  </si>
  <si>
    <t>Мало-Барханчакский сельсовет</t>
  </si>
  <si>
    <t>07622429</t>
  </si>
  <si>
    <t>Октябрьский сельсовет</t>
  </si>
  <si>
    <t>07622431</t>
  </si>
  <si>
    <t>Первомайский сельсовет</t>
  </si>
  <si>
    <t>07622434</t>
  </si>
  <si>
    <t>Село Большая Джалга</t>
  </si>
  <si>
    <t>07622404</t>
  </si>
  <si>
    <t>Село Бурукшун</t>
  </si>
  <si>
    <t>07622407</t>
  </si>
  <si>
    <t>Советскорунный сельсовет</t>
  </si>
  <si>
    <t>07622437</t>
  </si>
  <si>
    <t>Тахтинский сельсовет</t>
  </si>
  <si>
    <t>07622440</t>
  </si>
  <si>
    <t>Горнозаводской сельсовет</t>
  </si>
  <si>
    <t>07625402</t>
  </si>
  <si>
    <t>Зольский сельсовет</t>
  </si>
  <si>
    <t>07625404</t>
  </si>
  <si>
    <t>Новосредненский сельсовет</t>
  </si>
  <si>
    <t>07625416</t>
  </si>
  <si>
    <t>07625417</t>
  </si>
  <si>
    <t>Посёлок Фазанный</t>
  </si>
  <si>
    <t>07625428</t>
  </si>
  <si>
    <t>Советский сельсовет</t>
  </si>
  <si>
    <t>07625419</t>
  </si>
  <si>
    <t>Станица Марьинская</t>
  </si>
  <si>
    <t>07625410</t>
  </si>
  <si>
    <t>Старопавловский сельсовет</t>
  </si>
  <si>
    <t>07625422</t>
  </si>
  <si>
    <t>Балахоновский сельсовет</t>
  </si>
  <si>
    <t>07628402</t>
  </si>
  <si>
    <t>Барсуковский сельсовет</t>
  </si>
  <si>
    <t>07628404</t>
  </si>
  <si>
    <t>Васильевский сельсовет</t>
  </si>
  <si>
    <t>07628440</t>
  </si>
  <si>
    <t>Вревский сельсовет</t>
  </si>
  <si>
    <t>07628407</t>
  </si>
  <si>
    <t>Георгиевский сельсовет</t>
  </si>
  <si>
    <t>07628408</t>
  </si>
  <si>
    <t>Заветненский сельсовет</t>
  </si>
  <si>
    <t>07628413</t>
  </si>
  <si>
    <t>Ивановский сельсовет</t>
  </si>
  <si>
    <t>07628416</t>
  </si>
  <si>
    <t>Казьминский сельсовет</t>
  </si>
  <si>
    <t>07628419</t>
  </si>
  <si>
    <t>Мищенский сельсовет</t>
  </si>
  <si>
    <t>07628423</t>
  </si>
  <si>
    <t>Надзорненский сельсовет</t>
  </si>
  <si>
    <t>07628424</t>
  </si>
  <si>
    <t>Новодеревенский сельсовет</t>
  </si>
  <si>
    <t>07628425</t>
  </si>
  <si>
    <t>Село Кочубеевское</t>
  </si>
  <si>
    <t>07628422</t>
  </si>
  <si>
    <t>Станица Беломечетская</t>
  </si>
  <si>
    <t>07628406</t>
  </si>
  <si>
    <t>Стародворцовский сельсовет</t>
  </si>
  <si>
    <t>07628430</t>
  </si>
  <si>
    <t>Усть-Невинский сельсовет</t>
  </si>
  <si>
    <t>07628435</t>
  </si>
  <si>
    <t>07630000</t>
  </si>
  <si>
    <t>Коммунаровский сельсовет</t>
  </si>
  <si>
    <t>07630404</t>
  </si>
  <si>
    <t>Медвеженский сельсовет</t>
  </si>
  <si>
    <t>07630413</t>
  </si>
  <si>
    <t>Родыковский сельсовет</t>
  </si>
  <si>
    <t>07630428</t>
  </si>
  <si>
    <t>Село Дмитриевское</t>
  </si>
  <si>
    <t>07630402</t>
  </si>
  <si>
    <t>Село Красногвардейское</t>
  </si>
  <si>
    <t>07630407</t>
  </si>
  <si>
    <t>Село Ладовская Балка</t>
  </si>
  <si>
    <t>07630410</t>
  </si>
  <si>
    <t>Село Новомихайловское</t>
  </si>
  <si>
    <t>07630416</t>
  </si>
  <si>
    <t>Село Покровское</t>
  </si>
  <si>
    <t>07630419</t>
  </si>
  <si>
    <t>Село Преградное</t>
  </si>
  <si>
    <t>07630422</t>
  </si>
  <si>
    <t>Штурмовский сельсовет</t>
  </si>
  <si>
    <t>07630443</t>
  </si>
  <si>
    <t>Балтийский сельсовет</t>
  </si>
  <si>
    <t>07633402</t>
  </si>
  <si>
    <t>Галюгаевский сельсовет</t>
  </si>
  <si>
    <t>07633404</t>
  </si>
  <si>
    <t>Кановский сельсовет</t>
  </si>
  <si>
    <t>07633406</t>
  </si>
  <si>
    <t>Курский сельсовет</t>
  </si>
  <si>
    <t>07633407</t>
  </si>
  <si>
    <t>Мирненский сельсовет</t>
  </si>
  <si>
    <t>07633410</t>
  </si>
  <si>
    <t>Полтавский сельсовет</t>
  </si>
  <si>
    <t>07633413</t>
  </si>
  <si>
    <t>Ростовановский сельсовет</t>
  </si>
  <si>
    <t>07633416</t>
  </si>
  <si>
    <t>Рощинский сельсовет</t>
  </si>
  <si>
    <t>07633419</t>
  </si>
  <si>
    <t>Русский сельсовет</t>
  </si>
  <si>
    <t>07633422</t>
  </si>
  <si>
    <t>Село Эдиссия</t>
  </si>
  <si>
    <t>07633428</t>
  </si>
  <si>
    <t>Серноводский сельсовет</t>
  </si>
  <si>
    <t>07633425</t>
  </si>
  <si>
    <t>Станица Стодеревская</t>
  </si>
  <si>
    <t>07633426</t>
  </si>
  <si>
    <t>Левокумский муниципальный район</t>
  </si>
  <si>
    <t>07636000</t>
  </si>
  <si>
    <t>Бургун-Маджарский сельсовет</t>
  </si>
  <si>
    <t>07636402</t>
  </si>
  <si>
    <t>Величаевский сельсовет</t>
  </si>
  <si>
    <t>07636404</t>
  </si>
  <si>
    <t>Владимировский сельсовет</t>
  </si>
  <si>
    <t>07636407</t>
  </si>
  <si>
    <t>Заринский сельсовет</t>
  </si>
  <si>
    <t>07636409</t>
  </si>
  <si>
    <t>Николо-Александровский сельсовет</t>
  </si>
  <si>
    <t>07636413</t>
  </si>
  <si>
    <t>Поселок Новокумский</t>
  </si>
  <si>
    <t>07636414</t>
  </si>
  <si>
    <t>Село Левокумское</t>
  </si>
  <si>
    <t>07636410</t>
  </si>
  <si>
    <t>Село Правокумское</t>
  </si>
  <si>
    <t>07636416</t>
  </si>
  <si>
    <t>Село Приозерское</t>
  </si>
  <si>
    <t>07636417</t>
  </si>
  <si>
    <t>Село Урожайное</t>
  </si>
  <si>
    <t>07636422</t>
  </si>
  <si>
    <t>Турксадский сельсовет</t>
  </si>
  <si>
    <t>07636419</t>
  </si>
  <si>
    <t>07639000</t>
  </si>
  <si>
    <t>Гражданский сельсовет</t>
  </si>
  <si>
    <t>07639402</t>
  </si>
  <si>
    <t>Левокумский сельсовет</t>
  </si>
  <si>
    <t>07639421</t>
  </si>
  <si>
    <t>Ленинский сельсовет</t>
  </si>
  <si>
    <t>07639407</t>
  </si>
  <si>
    <t>Марьино-Колодцевский сельсовет</t>
  </si>
  <si>
    <t>07639410</t>
  </si>
  <si>
    <t>Нижнеалександровский сельсовет</t>
  </si>
  <si>
    <t>07639416</t>
  </si>
  <si>
    <t>07639418</t>
  </si>
  <si>
    <t>Перевальненский сельсовет</t>
  </si>
  <si>
    <t>07639420</t>
  </si>
  <si>
    <t>Поселок Анджиевский</t>
  </si>
  <si>
    <t>07639152</t>
  </si>
  <si>
    <t>Прикумский сельсовет</t>
  </si>
  <si>
    <t>07639422</t>
  </si>
  <si>
    <t>Розовский сельсовет</t>
  </si>
  <si>
    <t>07639425</t>
  </si>
  <si>
    <t>Село Греческое</t>
  </si>
  <si>
    <t>07639404</t>
  </si>
  <si>
    <t>Село Нагутское</t>
  </si>
  <si>
    <t>07639413</t>
  </si>
  <si>
    <t>07639430</t>
  </si>
  <si>
    <t>07641000</t>
  </si>
  <si>
    <t>Город Нефтекумск</t>
  </si>
  <si>
    <t>07641101</t>
  </si>
  <si>
    <t>Закумский сельсовет</t>
  </si>
  <si>
    <t>07641403</t>
  </si>
  <si>
    <t>Зимнеставочный сельсовет</t>
  </si>
  <si>
    <t>07641404</t>
  </si>
  <si>
    <t>Зункарский сельсовет</t>
  </si>
  <si>
    <t>07641405</t>
  </si>
  <si>
    <t>Кара-Тюбинский сельсовет</t>
  </si>
  <si>
    <t>07641407</t>
  </si>
  <si>
    <t>Каясулинский сельсовет</t>
  </si>
  <si>
    <t>07641410</t>
  </si>
  <si>
    <t>Махмуд-Мектебский сельсовет</t>
  </si>
  <si>
    <t>07641413</t>
  </si>
  <si>
    <t>Новкус-Артезианский сельсовет</t>
  </si>
  <si>
    <t>07641416</t>
  </si>
  <si>
    <t>Озек-Суатский сельсовет</t>
  </si>
  <si>
    <t>07641419</t>
  </si>
  <si>
    <t>Село Ачикулак</t>
  </si>
  <si>
    <t>07641402</t>
  </si>
  <si>
    <t>Тукуй-Мектебский сельсовет</t>
  </si>
  <si>
    <t>07641422</t>
  </si>
  <si>
    <t>Новоалександровский муниципальный район</t>
  </si>
  <si>
    <t>07643000</t>
  </si>
  <si>
    <t>Город Новоалександровск</t>
  </si>
  <si>
    <t>07643101</t>
  </si>
  <si>
    <t>Горьковский сельсовет</t>
  </si>
  <si>
    <t>07643402</t>
  </si>
  <si>
    <t>Григорополисский сельсовет</t>
  </si>
  <si>
    <t>07643404</t>
  </si>
  <si>
    <t>Краснозоринский сельсовет</t>
  </si>
  <si>
    <t>07643407</t>
  </si>
  <si>
    <t>Красночервонный сельсовет</t>
  </si>
  <si>
    <t>07643423</t>
  </si>
  <si>
    <t>Присадовый сельсовет</t>
  </si>
  <si>
    <t>07643410</t>
  </si>
  <si>
    <t>Радужский сельсовет</t>
  </si>
  <si>
    <t>07643412</t>
  </si>
  <si>
    <t>Раздольненский сельсовет</t>
  </si>
  <si>
    <t>07643413</t>
  </si>
  <si>
    <t>Светлинский сельсовет</t>
  </si>
  <si>
    <t>07643417</t>
  </si>
  <si>
    <t>Станица Кармалиновская</t>
  </si>
  <si>
    <t>07643406</t>
  </si>
  <si>
    <t>Станица Расшеватская</t>
  </si>
  <si>
    <t>07643416</t>
  </si>
  <si>
    <t>Темижбекский сельсовет</t>
  </si>
  <si>
    <t>07643419</t>
  </si>
  <si>
    <t>Журавский сельсовет</t>
  </si>
  <si>
    <t>07644404</t>
  </si>
  <si>
    <t>Новомаякский сельсовет</t>
  </si>
  <si>
    <t>07644409</t>
  </si>
  <si>
    <t>Поселок Щелкан</t>
  </si>
  <si>
    <t>07644420</t>
  </si>
  <si>
    <t>Село Долиновка</t>
  </si>
  <si>
    <t>07644402</t>
  </si>
  <si>
    <t>Село Китаевское</t>
  </si>
  <si>
    <t>07644407</t>
  </si>
  <si>
    <t>Село Новоселицкое</t>
  </si>
  <si>
    <t>07644410</t>
  </si>
  <si>
    <t>Село Падинское</t>
  </si>
  <si>
    <t>07644412</t>
  </si>
  <si>
    <t>Село Чернолесское</t>
  </si>
  <si>
    <t>07644413</t>
  </si>
  <si>
    <t>07646000</t>
  </si>
  <si>
    <t>Высоцкий сельсовет</t>
  </si>
  <si>
    <t>07646404</t>
  </si>
  <si>
    <t>Дон-Балковский сельсовет</t>
  </si>
  <si>
    <t>07646410</t>
  </si>
  <si>
    <t>Константиновский сельсовет</t>
  </si>
  <si>
    <t>07646413</t>
  </si>
  <si>
    <t>Прикалаусский сельсовет</t>
  </si>
  <si>
    <t>07646417</t>
  </si>
  <si>
    <t>Просянский сельсовет</t>
  </si>
  <si>
    <t>07646418</t>
  </si>
  <si>
    <t>Рогато-Балковский сельсовет</t>
  </si>
  <si>
    <t>07646419</t>
  </si>
  <si>
    <t>Село Гофицкое</t>
  </si>
  <si>
    <t>07646407</t>
  </si>
  <si>
    <t>Село Николина Балка</t>
  </si>
  <si>
    <t>07646416</t>
  </si>
  <si>
    <t>Село Сухая Буйвола</t>
  </si>
  <si>
    <t>07646422</t>
  </si>
  <si>
    <t>Село Шведино</t>
  </si>
  <si>
    <t>07646428</t>
  </si>
  <si>
    <t>Шангалинский сельсовет</t>
  </si>
  <si>
    <t>07646425</t>
  </si>
  <si>
    <t>07648000</t>
  </si>
  <si>
    <t>Винсадский сельсовет</t>
  </si>
  <si>
    <t>07648410</t>
  </si>
  <si>
    <t>Нежинский сельсовет</t>
  </si>
  <si>
    <t>07648416</t>
  </si>
  <si>
    <t>Новоблагодарненский сельсовет</t>
  </si>
  <si>
    <t>07648422</t>
  </si>
  <si>
    <t>Подкумский сельсовет</t>
  </si>
  <si>
    <t>07648424</t>
  </si>
  <si>
    <t>Поселок Мирный</t>
  </si>
  <si>
    <t>07648415</t>
  </si>
  <si>
    <t>Пригородный сельсовет</t>
  </si>
  <si>
    <t>07648425</t>
  </si>
  <si>
    <t>Пятигорский сельсовет</t>
  </si>
  <si>
    <t>07648428</t>
  </si>
  <si>
    <t>Станица Бекешевская</t>
  </si>
  <si>
    <t>07648402</t>
  </si>
  <si>
    <t>Станица Боргустанская</t>
  </si>
  <si>
    <t>07648407</t>
  </si>
  <si>
    <t>Суворовский сельсовет</t>
  </si>
  <si>
    <t>07648431</t>
  </si>
  <si>
    <t>Тельмановский сельсовет</t>
  </si>
  <si>
    <t>07648432</t>
  </si>
  <si>
    <t>Этокский сельсовет</t>
  </si>
  <si>
    <t>07648434</t>
  </si>
  <si>
    <t>Юцкий сельсовет</t>
  </si>
  <si>
    <t>07648437</t>
  </si>
  <si>
    <t>Яснополянский сельсовет</t>
  </si>
  <si>
    <t>07648440</t>
  </si>
  <si>
    <t>Советский муниципальный район</t>
  </si>
  <si>
    <t>07650000</t>
  </si>
  <si>
    <t>Восточный сельсовет</t>
  </si>
  <si>
    <t>07650402</t>
  </si>
  <si>
    <t>Город Зеленокумск</t>
  </si>
  <si>
    <t>07650101</t>
  </si>
  <si>
    <t>Нинский сельсовет</t>
  </si>
  <si>
    <t>07650407</t>
  </si>
  <si>
    <t>Правокумский сельсовет</t>
  </si>
  <si>
    <t>07650413</t>
  </si>
  <si>
    <t>Село Горькая Балка</t>
  </si>
  <si>
    <t>07650404</t>
  </si>
  <si>
    <t>Село Отказное</t>
  </si>
  <si>
    <t>07650410</t>
  </si>
  <si>
    <t>Солдато-Александровский сельсовет</t>
  </si>
  <si>
    <t>07650416</t>
  </si>
  <si>
    <t>Богдановский сельсовет</t>
  </si>
  <si>
    <t>07652402</t>
  </si>
  <si>
    <t>Варениковский сельсовет</t>
  </si>
  <si>
    <t>07652404</t>
  </si>
  <si>
    <t>Верхнестепновский сельсовет</t>
  </si>
  <si>
    <t>07652407</t>
  </si>
  <si>
    <t>Иргаклинский сельсовет</t>
  </si>
  <si>
    <t>07652410</t>
  </si>
  <si>
    <t>Ольгинский сельсовет</t>
  </si>
  <si>
    <t>07652415</t>
  </si>
  <si>
    <t>Село Соломенское</t>
  </si>
  <si>
    <t>07652420</t>
  </si>
  <si>
    <t>Степновский сельсовет</t>
  </si>
  <si>
    <t>07652426</t>
  </si>
  <si>
    <t>Труновский муниципальный район</t>
  </si>
  <si>
    <t>07654000</t>
  </si>
  <si>
    <t>Безопасненский сельсовет</t>
  </si>
  <si>
    <t>07654402</t>
  </si>
  <si>
    <t>Донской сельсовет</t>
  </si>
  <si>
    <t>07654404</t>
  </si>
  <si>
    <t>Кировский сельсовет</t>
  </si>
  <si>
    <t>07654407</t>
  </si>
  <si>
    <t>Село Новая Кугульта</t>
  </si>
  <si>
    <t>07654410</t>
  </si>
  <si>
    <t>Село Подлесное</t>
  </si>
  <si>
    <t>07654413</t>
  </si>
  <si>
    <t>Труновский сельсовет</t>
  </si>
  <si>
    <t>07654416</t>
  </si>
  <si>
    <t>07656401</t>
  </si>
  <si>
    <t>Кендже-Кулакский сельсовет</t>
  </si>
  <si>
    <t>07656407</t>
  </si>
  <si>
    <t>Красноманычский сельсовет</t>
  </si>
  <si>
    <t>07656410</t>
  </si>
  <si>
    <t>Куликово-Копанский сельсовет</t>
  </si>
  <si>
    <t>07656413</t>
  </si>
  <si>
    <t>Кучерлинский сельсовет</t>
  </si>
  <si>
    <t>07656416</t>
  </si>
  <si>
    <t>Новокучерлинский сельсовет</t>
  </si>
  <si>
    <t>07656424</t>
  </si>
  <si>
    <t>Овощинский сельсовет</t>
  </si>
  <si>
    <t>07656426</t>
  </si>
  <si>
    <t>Село Казгулак</t>
  </si>
  <si>
    <t>07656402</t>
  </si>
  <si>
    <t>Село Камбулат</t>
  </si>
  <si>
    <t>07656404</t>
  </si>
  <si>
    <t>Село Малые Ягуры</t>
  </si>
  <si>
    <t>07656422</t>
  </si>
  <si>
    <t>Шпаковский муниципальный район</t>
  </si>
  <si>
    <t>07658000</t>
  </si>
  <si>
    <t>Верхнерусский сельсовет</t>
  </si>
  <si>
    <t>07658402</t>
  </si>
  <si>
    <t>Город Михайловск</t>
  </si>
  <si>
    <t>07658101</t>
  </si>
  <si>
    <t>Деминский сельсовет</t>
  </si>
  <si>
    <t>07658404</t>
  </si>
  <si>
    <t>Дубовский сельсовет</t>
  </si>
  <si>
    <t>07658406</t>
  </si>
  <si>
    <t>07658408</t>
  </si>
  <si>
    <t>Надеждинский сельсовет</t>
  </si>
  <si>
    <t>07658410</t>
  </si>
  <si>
    <t>Пелагиадский сельсовет</t>
  </si>
  <si>
    <t>07658416</t>
  </si>
  <si>
    <t>Сенгилеевский сельсовет</t>
  </si>
  <si>
    <t>07658419</t>
  </si>
  <si>
    <t>Станица Новомарьевская</t>
  </si>
  <si>
    <t>07658413</t>
  </si>
  <si>
    <t>Татарский сельсовет</t>
  </si>
  <si>
    <t>07658422</t>
  </si>
  <si>
    <t>Темнолесский сельсовет</t>
  </si>
  <si>
    <t>07658425</t>
  </si>
  <si>
    <t>Цимлянский сельсовет</t>
  </si>
  <si>
    <t>07658428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</si>
  <si>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</si>
  <si>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</si>
  <si>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</si>
  <si>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</si>
  <si>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</si>
  <si>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</si>
  <si>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</si>
  <si>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</si>
  <si>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</si>
  <si>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</si>
  <si>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</si>
  <si>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</si>
  <si>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</si>
  <si>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</si>
  <si>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</si>
  <si>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</si>
  <si>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</si>
  <si>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</si>
  <si>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</si>
  <si>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</si>
  <si>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</si>
  <si>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</si>
  <si>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</si>
  <si>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</si>
  <si>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</si>
  <si>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</si>
  <si>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</si>
  <si>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</si>
  <si>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</si>
  <si>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</si>
  <si>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</si>
  <si>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</si>
  <si>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</si>
  <si>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</si>
  <si>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МО_ОКТМО</t>
  </si>
  <si>
    <t>ИМЯ ДИАПАЗОНА</t>
  </si>
  <si>
    <t>26893305</t>
  </si>
  <si>
    <t>28812805</t>
  </si>
  <si>
    <t>ГБОУ СПО АСХ Колледж</t>
  </si>
  <si>
    <t>2601002535</t>
  </si>
  <si>
    <t>26355225</t>
  </si>
  <si>
    <t>26526815</t>
  </si>
  <si>
    <t>27507656</t>
  </si>
  <si>
    <t>26891277</t>
  </si>
  <si>
    <t>26838066</t>
  </si>
  <si>
    <t>26355170</t>
  </si>
  <si>
    <t>26355169</t>
  </si>
  <si>
    <t>26816056</t>
  </si>
  <si>
    <t>26355171</t>
  </si>
  <si>
    <t>27567409</t>
  </si>
  <si>
    <t>26638313</t>
  </si>
  <si>
    <t>ООО "Теплоэнергоресурс"</t>
  </si>
  <si>
    <t>2635135903</t>
  </si>
  <si>
    <t>28535957</t>
  </si>
  <si>
    <t>26355185</t>
  </si>
  <si>
    <t>26355187</t>
  </si>
  <si>
    <t>26360929</t>
  </si>
  <si>
    <t>26383213</t>
  </si>
  <si>
    <t>26355197</t>
  </si>
  <si>
    <t>26419409</t>
  </si>
  <si>
    <t>ОАО "Невинномысский Азот"</t>
  </si>
  <si>
    <t>2631015563</t>
  </si>
  <si>
    <t>26355198</t>
  </si>
  <si>
    <t>28014322</t>
  </si>
  <si>
    <t>производство (некомбинированная выработка)+передача</t>
  </si>
  <si>
    <t>26417110</t>
  </si>
  <si>
    <t>26416944</t>
  </si>
  <si>
    <t>26355215</t>
  </si>
  <si>
    <t>26355213</t>
  </si>
  <si>
    <t>26355219</t>
  </si>
  <si>
    <t>26891086</t>
  </si>
  <si>
    <t>26355211</t>
  </si>
  <si>
    <t>26414646</t>
  </si>
  <si>
    <t>26322297</t>
  </si>
  <si>
    <t>26759933</t>
  </si>
  <si>
    <t>27727710</t>
  </si>
  <si>
    <t>26355210</t>
  </si>
  <si>
    <t>26355190</t>
  </si>
  <si>
    <t>26355189</t>
  </si>
  <si>
    <t>28118061</t>
  </si>
  <si>
    <t>26355192</t>
  </si>
  <si>
    <t>26355193</t>
  </si>
  <si>
    <t>26355194</t>
  </si>
  <si>
    <t>26355217</t>
  </si>
  <si>
    <t>26355214</t>
  </si>
  <si>
    <t>26355205</t>
  </si>
  <si>
    <t>26355207</t>
  </si>
  <si>
    <t>26850785</t>
  </si>
  <si>
    <t>ОАО "ПТЭК"</t>
  </si>
  <si>
    <t>2632800936</t>
  </si>
  <si>
    <t>26355209</t>
  </si>
  <si>
    <t>26355208</t>
  </si>
  <si>
    <t>27882380</t>
  </si>
  <si>
    <t>26355203</t>
  </si>
  <si>
    <t>26355172</t>
  </si>
  <si>
    <t>26355173</t>
  </si>
  <si>
    <t>26355174</t>
  </si>
  <si>
    <t>26355224</t>
  </si>
  <si>
    <t>26357578</t>
  </si>
  <si>
    <t>27051140</t>
  </si>
  <si>
    <t>ОАО "ОГК-2"</t>
  </si>
  <si>
    <t>26416974</t>
  </si>
  <si>
    <t>26355176</t>
  </si>
  <si>
    <t>26355177</t>
  </si>
  <si>
    <t>26355195</t>
  </si>
  <si>
    <t>ОАО Северо-Кавказская энергетическая компания "Нефтегазгеотерм"</t>
  </si>
  <si>
    <t>2630024131</t>
  </si>
  <si>
    <t>26355178</t>
  </si>
  <si>
    <t>26800337</t>
  </si>
  <si>
    <t>ОАО "Международный аэропорт Минеральные Воды"</t>
  </si>
  <si>
    <t>2630800970</t>
  </si>
  <si>
    <t>26897146</t>
  </si>
  <si>
    <t>26355222</t>
  </si>
  <si>
    <t>26414029</t>
  </si>
  <si>
    <t>26355182</t>
  </si>
  <si>
    <t>26355183</t>
  </si>
  <si>
    <t>27357611</t>
  </si>
  <si>
    <t>Филиал ОАО "РЭУ" "Ростовский"</t>
  </si>
  <si>
    <t>616543001</t>
  </si>
  <si>
    <t>НСРФ</t>
  </si>
  <si>
    <t>ОКТМР</t>
  </si>
  <si>
    <t>Наименование организации</t>
  </si>
  <si>
    <t>TOPL.QX</t>
  </si>
  <si>
    <t>FUEL_COMMENTS_Q4</t>
  </si>
  <si>
    <t xml:space="preserve">- реестра МР/МО: </t>
  </si>
  <si>
    <t>Объём топлива, всего</t>
  </si>
  <si>
    <t>Затраты на топливо, без НДС (тыс.руб.)</t>
  </si>
  <si>
    <t>GLIM_COSTS</t>
  </si>
  <si>
    <t>GULIM_COSTS</t>
  </si>
  <si>
    <t>GCOMM_COSTS</t>
  </si>
  <si>
    <t>GCND_COSTS</t>
  </si>
  <si>
    <t>GLIQ_COSTS</t>
  </si>
  <si>
    <t>DIESEL_COSTS</t>
  </si>
  <si>
    <t>OIL_COSTS</t>
  </si>
  <si>
    <t>PETROL_COSTS</t>
  </si>
  <si>
    <t>COAL_COSTS</t>
  </si>
  <si>
    <t>EE_EE_COSTS</t>
  </si>
  <si>
    <t>EE_PWR_COSTS</t>
  </si>
  <si>
    <t>WOODS_COSTS</t>
  </si>
  <si>
    <t>PILET_COSTS</t>
  </si>
  <si>
    <t>SAWDUST_COSTS</t>
  </si>
  <si>
    <t>PEAT_COSTS</t>
  </si>
  <si>
    <t>SHALE_COSTS</t>
  </si>
  <si>
    <t>STOVE_COSTS</t>
  </si>
  <si>
    <t>OTHER_COSTS</t>
  </si>
  <si>
    <t>GLIM_AMOUNT</t>
  </si>
  <si>
    <t>GULIM_AMOUNT</t>
  </si>
  <si>
    <t>GCOMM_AMOUNT</t>
  </si>
  <si>
    <t>GCND_AMOUNT</t>
  </si>
  <si>
    <t>GLIQ_AMOUNT</t>
  </si>
  <si>
    <t>DIESEL_AMOUNT</t>
  </si>
  <si>
    <t>OIL_AMOUNT</t>
  </si>
  <si>
    <t>PETROL_AMOUNT</t>
  </si>
  <si>
    <t>COAL_AMOUNT</t>
  </si>
  <si>
    <t>EE_EE_AMOUNT</t>
  </si>
  <si>
    <t>EE_PWR_AMOUNT</t>
  </si>
  <si>
    <t>WOODS_AMOUNT</t>
  </si>
  <si>
    <t>PILET_AMOUNT</t>
  </si>
  <si>
    <t>SAWDUST_AMOUNT</t>
  </si>
  <si>
    <t>PEAT_AMOUNT</t>
  </si>
  <si>
    <t>SHALE_AMOUNT</t>
  </si>
  <si>
    <t>STOVE_AMOUNT</t>
  </si>
  <si>
    <t>OTHER_AMOUNT</t>
  </si>
  <si>
    <t>Отклонение показателей на 12 месяцев [факт - план]</t>
  </si>
  <si>
    <t>Отклонение показателей на 9 месяцев [факт - план]</t>
  </si>
  <si>
    <t>Отклонение показателей на I полугодие [факт - план]</t>
  </si>
  <si>
    <t>Оценка выпадающих доходов в пересчёте на 12 месяцев</t>
  </si>
  <si>
    <t>Оценка выпадающих доходов в пересчёте на 9 месяцев</t>
  </si>
  <si>
    <t>Оценка выпадающих доходов в пересчёте на I полугодие</t>
  </si>
  <si>
    <t>Отклонение показателей на I квартал [факт - план]</t>
  </si>
  <si>
    <t>Оценка выпадающих доходов в пересчёте на I квартал</t>
  </si>
  <si>
    <t>Транспортировка топлива автоперевозками</t>
  </si>
  <si>
    <t>Транспортировка топлива ж/д перевозками</t>
  </si>
  <si>
    <t>Транспортировка топлива иными видами перевозок</t>
  </si>
  <si>
    <t>Объём топлива (ед.изм.)</t>
  </si>
  <si>
    <t>Затраты (тыс.руб.)</t>
  </si>
  <si>
    <t>Тариф (цена за единицу) (руб./ед.изм.)</t>
  </si>
  <si>
    <t>Объём натурального топлива, всего (ед.изм.)</t>
  </si>
  <si>
    <t>Объём условного топлива, всего (тут)</t>
  </si>
  <si>
    <t>Переводной коэффициент</t>
  </si>
  <si>
    <t>ADD_ORG_LOST_INCOME</t>
  </si>
  <si>
    <t>Цена натурального топлива без учёта транспортировки (руб./ед.изм.)</t>
  </si>
  <si>
    <t>Цена натурального топлива с учётом транспортировки (руб./ед.изм.)</t>
  </si>
  <si>
    <t>Цена условного топлива с учётом транспортировки (руб./тут)</t>
  </si>
  <si>
    <r>
      <t>Средний тариф транзитной транспортировки (руб./тыс.м</t>
    </r>
    <r>
      <rPr>
        <vertAlign val="superscript"/>
        <sz val="9"/>
        <color indexed="9"/>
        <rFont val="Tahoma"/>
        <family val="2"/>
        <charset val="204"/>
      </rPr>
      <t>3</t>
    </r>
    <r>
      <rPr>
        <sz val="9"/>
        <color indexed="9"/>
        <rFont val="Tahoma"/>
        <family val="2"/>
        <charset val="204"/>
      </rPr>
      <t>)</t>
    </r>
  </si>
  <si>
    <r>
      <t>Объём топлива, транспортируемого в транзитном потоке (тыс.м</t>
    </r>
    <r>
      <rPr>
        <vertAlign val="superscript"/>
        <sz val="9"/>
        <color indexed="9"/>
        <rFont val="Tahoma"/>
        <family val="2"/>
        <charset val="204"/>
      </rPr>
      <t>3</t>
    </r>
    <r>
      <rPr>
        <sz val="9"/>
        <color indexed="9"/>
        <rFont val="Tahoma"/>
        <family val="2"/>
        <charset val="204"/>
      </rPr>
      <t>)</t>
    </r>
  </si>
  <si>
    <t>L3_1_1_1</t>
  </si>
  <si>
    <t>L3_1_2_1</t>
  </si>
  <si>
    <t>L3_1_3_1</t>
  </si>
  <si>
    <t>L3_2_1</t>
  </si>
  <si>
    <t>L3_2_2</t>
  </si>
  <si>
    <t>L3_2_3</t>
  </si>
  <si>
    <t>L3_3_1</t>
  </si>
  <si>
    <t>L3_3_2</t>
  </si>
  <si>
    <t>L3_4_1_1</t>
  </si>
  <si>
    <t>L3_4_1_2</t>
  </si>
  <si>
    <t>L3_4_2</t>
  </si>
  <si>
    <t>L3_5_1_1</t>
  </si>
  <si>
    <t>L3_5_1_2</t>
  </si>
  <si>
    <t>L3_5_2</t>
  </si>
  <si>
    <t>L3_5_3_1</t>
  </si>
  <si>
    <t>L3_5_3_2</t>
  </si>
  <si>
    <t>L3_6_1_1</t>
  </si>
  <si>
    <t>L3_6_1_2</t>
  </si>
  <si>
    <t>L3_6_2</t>
  </si>
  <si>
    <t>L3_6_3_1</t>
  </si>
  <si>
    <t>L3_6_3_2</t>
  </si>
  <si>
    <t>L3_7_1_1</t>
  </si>
  <si>
    <t>L3_7_1_2</t>
  </si>
  <si>
    <t>L3_7_2</t>
  </si>
  <si>
    <t>L3_7_3_1</t>
  </si>
  <si>
    <t>L3_7_3_2</t>
  </si>
  <si>
    <t>L3_8_1</t>
  </si>
  <si>
    <t>L3_8_2</t>
  </si>
  <si>
    <t>L3_9</t>
  </si>
  <si>
    <t>L3_10_1</t>
  </si>
  <si>
    <t>L3_10_2</t>
  </si>
  <si>
    <t>L2_1_1_1</t>
  </si>
  <si>
    <t>L2_1_2_1</t>
  </si>
  <si>
    <t>L2_1_3_1</t>
  </si>
  <si>
    <t>L2_2_2</t>
  </si>
  <si>
    <t>L2_2_3</t>
  </si>
  <si>
    <t>L2_3_1</t>
  </si>
  <si>
    <t>L2_3_2</t>
  </si>
  <si>
    <t>L2_4_1_1</t>
  </si>
  <si>
    <t>L2_4_1_2</t>
  </si>
  <si>
    <t>L2_4_2</t>
  </si>
  <si>
    <t>L2_5_1_1</t>
  </si>
  <si>
    <t>L2_5_1_2</t>
  </si>
  <si>
    <t>L2_5_2</t>
  </si>
  <si>
    <t>L2_5_3_1</t>
  </si>
  <si>
    <t>L2_5_3_2</t>
  </si>
  <si>
    <t>L2_6_1_1</t>
  </si>
  <si>
    <t>L2_6_1_2</t>
  </si>
  <si>
    <t>L2_6_2</t>
  </si>
  <si>
    <t>L2_6_3_1</t>
  </si>
  <si>
    <t>L2_6_3_2</t>
  </si>
  <si>
    <t>L2_7_1_1</t>
  </si>
  <si>
    <t>L2_7_1_2</t>
  </si>
  <si>
    <t>L2_7_2</t>
  </si>
  <si>
    <t>L2_7_3_1</t>
  </si>
  <si>
    <t>L2_7_3_2</t>
  </si>
  <si>
    <t>L2_8_1</t>
  </si>
  <si>
    <t>L2_8_2</t>
  </si>
  <si>
    <t>L2_9</t>
  </si>
  <si>
    <t>L2_10_1</t>
  </si>
  <si>
    <t>L2_10_2</t>
  </si>
  <si>
    <t>L1_1_1_1</t>
  </si>
  <si>
    <t>L1_1_2_1</t>
  </si>
  <si>
    <t>L1_1_3_1</t>
  </si>
  <si>
    <t>L1_2_1</t>
  </si>
  <si>
    <t>L1_2_2</t>
  </si>
  <si>
    <t>L1_2_3</t>
  </si>
  <si>
    <t>L1_3_1</t>
  </si>
  <si>
    <t>L1_3_2</t>
  </si>
  <si>
    <t>L1_4_1_1</t>
  </si>
  <si>
    <t>L1_4_1_2</t>
  </si>
  <si>
    <t>L1_4_2</t>
  </si>
  <si>
    <t>L1_5_1_1</t>
  </si>
  <si>
    <t>L1_5_1_2</t>
  </si>
  <si>
    <t>L1_5_2</t>
  </si>
  <si>
    <t>L1_5_3_1</t>
  </si>
  <si>
    <t>L1_5_3_2</t>
  </si>
  <si>
    <t>L1_6_1_1</t>
  </si>
  <si>
    <t>L1_6_1_2</t>
  </si>
  <si>
    <t>L1_6_2</t>
  </si>
  <si>
    <t>L1_6_3_1</t>
  </si>
  <si>
    <t>L1_6_3_2</t>
  </si>
  <si>
    <t>L1_7_1_1</t>
  </si>
  <si>
    <t>L1_7_1_2</t>
  </si>
  <si>
    <t>L1_7_2</t>
  </si>
  <si>
    <t>L1_7_3_1</t>
  </si>
  <si>
    <t>L1_7_3_2</t>
  </si>
  <si>
    <t>L1_8_1</t>
  </si>
  <si>
    <t>L1_8_2</t>
  </si>
  <si>
    <t>L1_9</t>
  </si>
  <si>
    <t>L1_10_1</t>
  </si>
  <si>
    <t>L1_10_2</t>
  </si>
  <si>
    <t>FUEL_COMMENTS_Q1</t>
  </si>
  <si>
    <t>FUEL_COMMENTS_Q2</t>
  </si>
  <si>
    <t>FUEL_COMMENTS_Q3</t>
  </si>
  <si>
    <t>Комментарии</t>
  </si>
  <si>
    <t>Контактные данные</t>
  </si>
  <si>
    <t>Фамилия Имя Отчество</t>
  </si>
  <si>
    <t>L2</t>
  </si>
  <si>
    <t>Должность</t>
  </si>
  <si>
    <t>L3</t>
  </si>
  <si>
    <t>(код) телефон</t>
  </si>
  <si>
    <t>L4</t>
  </si>
  <si>
    <t>Ответственный за предоставление информации</t>
  </si>
  <si>
    <t>Руководитель</t>
  </si>
  <si>
    <t>Полное название</t>
  </si>
  <si>
    <t>(код) телефон приёмной</t>
  </si>
  <si>
    <t>(код) факс приёмной</t>
  </si>
  <si>
    <t>0</t>
  </si>
  <si>
    <t>Муниципальный район</t>
  </si>
  <si>
    <t>Камчатский край</t>
  </si>
  <si>
    <t>L1</t>
  </si>
  <si>
    <t>Муниципальное образование</t>
  </si>
  <si>
    <t>Еврейская автономная область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</si>
  <si>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</si>
  <si>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</si>
  <si>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</si>
  <si>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</si>
  <si>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</si>
  <si>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</si>
  <si>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</si>
  <si>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</si>
  <si>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</si>
  <si>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</si>
  <si>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</si>
  <si>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</si>
  <si>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</si>
  <si>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г. Москва</t>
  </si>
  <si>
    <t>Газ природный</t>
  </si>
  <si>
    <t>Газ сжиженный</t>
  </si>
  <si>
    <t xml:space="preserve"> </t>
  </si>
  <si>
    <t>ФИО</t>
  </si>
  <si>
    <t>e-mail</t>
  </si>
  <si>
    <t>NSRF</t>
  </si>
  <si>
    <t>В указанной папке файлов не найдено!!!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</si>
  <si>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</si>
  <si>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</si>
  <si>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</si>
  <si>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</si>
  <si>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</si>
  <si>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</si>
  <si>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</si>
  <si>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</si>
  <si>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да</t>
  </si>
  <si>
    <t>нет</t>
  </si>
  <si>
    <t>Забайкальский край</t>
  </si>
  <si>
    <t>Магаданская область</t>
  </si>
  <si>
    <t>Орловская область</t>
  </si>
  <si>
    <t>Пензенская область</t>
  </si>
  <si>
    <t>Пермский край</t>
  </si>
  <si>
    <t>Белгородская область</t>
  </si>
  <si>
    <t>ОКТМО</t>
  </si>
  <si>
    <t>Наименование филиала</t>
  </si>
  <si>
    <t>ИНН</t>
  </si>
  <si>
    <t>Вид деятельности</t>
  </si>
  <si>
    <t>№ п/п</t>
  </si>
  <si>
    <t>Алтайский край</t>
  </si>
  <si>
    <t>Амурская область</t>
  </si>
  <si>
    <t>Архангельская область</t>
  </si>
  <si>
    <t>Астраханская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</si>
  <si>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</si>
  <si>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</si>
  <si>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</si>
  <si>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</si>
  <si>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</si>
  <si>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</si>
  <si>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</si>
  <si>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</si>
  <si>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</si>
  <si>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</si>
  <si>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Добавить организацию</t>
  </si>
  <si>
    <t>Республика Дагестан</t>
  </si>
  <si>
    <t>Республика Ингушетия</t>
  </si>
  <si>
    <t>Республика Калмыкия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</si>
  <si>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</si>
  <si>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</si>
  <si>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</si>
  <si>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</si>
  <si>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</si>
  <si>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</si>
  <si>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</si>
  <si>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</si>
  <si>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Уголь</t>
  </si>
  <si>
    <t>Мазут</t>
  </si>
  <si>
    <t>Дизельное топливо</t>
  </si>
  <si>
    <t>Тульская область</t>
  </si>
  <si>
    <t>Тюменская область</t>
  </si>
  <si>
    <t>Удмуртская республика</t>
  </si>
  <si>
    <t>Ульяновская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</si>
  <si>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</si>
  <si>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</si>
  <si>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</si>
  <si>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</si>
  <si>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</si>
  <si>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</si>
  <si>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</si>
  <si>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</si>
  <si>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</si>
  <si>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</si>
  <si>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</si>
  <si>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</si>
  <si>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</si>
  <si>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</si>
  <si>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</si>
  <si>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</si>
  <si>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</si>
  <si>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</si>
  <si>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</si>
  <si>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</si>
  <si>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Вид топлива</t>
  </si>
  <si>
    <t>КПП</t>
  </si>
  <si>
    <t>с НДС</t>
  </si>
  <si>
    <t>без НДС</t>
  </si>
  <si>
    <t>Приморский край</t>
  </si>
  <si>
    <t>Ленинградская область</t>
  </si>
  <si>
    <t>Липецкая область</t>
  </si>
  <si>
    <t>MR_NAME</t>
  </si>
  <si>
    <t>OKTMO_MR_NAME</t>
  </si>
  <si>
    <t>MO_NAME</t>
  </si>
  <si>
    <t>OKTMO_NAME</t>
  </si>
  <si>
    <t>ORG_NAME</t>
  </si>
  <si>
    <t>INN_NAME</t>
  </si>
  <si>
    <t>KPP</t>
  </si>
  <si>
    <t>VDET_NAME</t>
  </si>
  <si>
    <t>Нефть</t>
  </si>
  <si>
    <t>Электроэнергия</t>
  </si>
  <si>
    <t>ADD_ORG_AUTO</t>
  </si>
  <si>
    <t>MR</t>
  </si>
  <si>
    <t>MO</t>
  </si>
  <si>
    <t>OKTMO</t>
  </si>
  <si>
    <t>ORG</t>
  </si>
  <si>
    <t>INN</t>
  </si>
  <si>
    <t>FIL</t>
  </si>
  <si>
    <t>VDET</t>
  </si>
  <si>
    <t>XML_ORG_LIST_TAG_NAMES</t>
  </si>
  <si>
    <t>KPP_NAME</t>
  </si>
  <si>
    <t>XML_MR_MO_OKTMO_LIST_TAG_NAMES</t>
  </si>
  <si>
    <t>NOMER</t>
  </si>
  <si>
    <t>PR_NDS</t>
  </si>
  <si>
    <t>VTOP</t>
  </si>
  <si>
    <t>FUEL</t>
  </si>
  <si>
    <t>PRICE</t>
  </si>
  <si>
    <t>AMOUNT</t>
  </si>
  <si>
    <t>COSTS</t>
  </si>
  <si>
    <t>XML_PLAN201X_LIST_TAG_NAMES</t>
  </si>
  <si>
    <t>STATUS</t>
  </si>
  <si>
    <t>Статус</t>
  </si>
  <si>
    <t>Дата/Время</t>
  </si>
  <si>
    <t>Сообщение</t>
  </si>
  <si>
    <t>XML_W1X_TOPL_ORG_TAG_NAMES</t>
  </si>
  <si>
    <t>I квартал</t>
  </si>
  <si>
    <t>№</t>
  </si>
  <si>
    <t>3/17/2012  12:12:41 AM</t>
  </si>
  <si>
    <t>Субъект РФ</t>
  </si>
  <si>
    <t>Газ лимитный</t>
  </si>
  <si>
    <t>Газ сверхлимитный</t>
  </si>
  <si>
    <t>Газ коммерческий</t>
  </si>
  <si>
    <t>Инструкция по своду данных</t>
  </si>
  <si>
    <t>Примечания</t>
  </si>
  <si>
    <t>Варианты ответа:</t>
  </si>
  <si>
    <t>1) Укажите в ячейке «C8» путь к папке, в которой находится добавляемый файл</t>
  </si>
  <si>
    <t>3) В ячейке «C10» выберите из предложенного списка имя файла</t>
  </si>
  <si>
    <t>Единицы измерения цены и объёмов топлива:</t>
  </si>
  <si>
    <t>Дополнительные признаки организации</t>
  </si>
  <si>
    <t>Плательщик НДС</t>
  </si>
  <si>
    <t>Наименование юридического лица</t>
  </si>
  <si>
    <t>Топливо, транспортируемое по дорогам (авто, ж/д), а также прочие виды транспортировки</t>
  </si>
  <si>
    <t>Энергия</t>
  </si>
  <si>
    <t>Заявленная мощность</t>
  </si>
  <si>
    <t>Контактные данные организации</t>
  </si>
  <si>
    <t>НДС</t>
  </si>
  <si>
    <t>Тариф на энергию / заявленную мощность (руб./кВт*ч / руб./кВт*мес)</t>
  </si>
  <si>
    <t>Дополнительно</t>
  </si>
  <si>
    <t>XML_AUTHORISATION_TAG_NAMES</t>
  </si>
  <si>
    <t>DPR</t>
  </si>
  <si>
    <t>NDS</t>
  </si>
  <si>
    <t>LOGIN</t>
  </si>
  <si>
    <t>PASSWORD</t>
  </si>
  <si>
    <t>SEQUENCE</t>
  </si>
  <si>
    <t>заработная плата прочего персонала, относимого на регулируемый вид деятельности</t>
  </si>
  <si>
    <t>Затраты, всего (тыс.руб.)</t>
  </si>
  <si>
    <t>Затраты на топливо (тыс.руб.)</t>
  </si>
  <si>
    <t>ADD_ORG_FROM_REESTR</t>
  </si>
  <si>
    <t>XML_PLAN1X_LIST_ORG_TOTAL_TAG_NAMES</t>
  </si>
  <si>
    <t>Объём энергии / заявленной мощности (тыс.кВт*ч / МВт)</t>
  </si>
  <si>
    <t>W12_P_NOMER</t>
  </si>
  <si>
    <t>Цена топлива (руб. / ед.изм.)</t>
  </si>
  <si>
    <t>Объём (ед. изм.)</t>
  </si>
  <si>
    <t>Региональный орган исполнительной власти в области тарифного регулирования</t>
  </si>
  <si>
    <t>Ссылка 1</t>
  </si>
  <si>
    <t>Ссылка 2</t>
  </si>
  <si>
    <t>Описание причины</t>
  </si>
  <si>
    <t>Результаты проверки</t>
  </si>
  <si>
    <t>Затраты на топливо, всего (тыс.руб.)</t>
  </si>
  <si>
    <t>А</t>
  </si>
  <si>
    <t>Б</t>
  </si>
  <si>
    <t>В</t>
  </si>
  <si>
    <t>Г</t>
  </si>
  <si>
    <t>Д</t>
  </si>
  <si>
    <t>Е</t>
  </si>
  <si>
    <t>Ж</t>
  </si>
  <si>
    <t>З</t>
  </si>
  <si>
    <t>И</t>
  </si>
  <si>
    <t>К</t>
  </si>
  <si>
    <t>Л</t>
  </si>
  <si>
    <t>М</t>
  </si>
  <si>
    <t>Н</t>
  </si>
  <si>
    <t>О</t>
  </si>
  <si>
    <t>П</t>
  </si>
  <si>
    <t>Р</t>
  </si>
  <si>
    <t>+</t>
  </si>
  <si>
    <t>Топливо, транспортируемое по сетям, магистралям (трубопроводам)</t>
  </si>
  <si>
    <t>9</t>
  </si>
  <si>
    <t>10</t>
  </si>
  <si>
    <t>L3_1_2_2</t>
  </si>
  <si>
    <t>L3_1_1_2</t>
  </si>
  <si>
    <t>L3_1_3_2</t>
  </si>
  <si>
    <t>L2_1_2_2</t>
  </si>
  <si>
    <t>L2_1_1_2</t>
  </si>
  <si>
    <t>L2_1_3_2</t>
  </si>
  <si>
    <t>L1_1_2_2</t>
  </si>
  <si>
    <t>L1_1_1_2</t>
  </si>
  <si>
    <t>L1_1_3_2</t>
  </si>
  <si>
    <t>NOMER2</t>
  </si>
  <si>
    <t>VTOP2</t>
  </si>
  <si>
    <t>XML_W1X_TOPL_FUEL_TAG_NAMES</t>
  </si>
  <si>
    <t/>
  </si>
  <si>
    <t>ORG_CONTACTS</t>
  </si>
  <si>
    <t>-</t>
  </si>
  <si>
    <t>11</t>
  </si>
  <si>
    <t>12</t>
  </si>
  <si>
    <t>13</t>
  </si>
  <si>
    <t>14</t>
  </si>
  <si>
    <t>15</t>
  </si>
  <si>
    <t>Всего</t>
  </si>
  <si>
    <t>12 месяцев</t>
  </si>
  <si>
    <t>9 месяцев</t>
  </si>
  <si>
    <t>I полугодие</t>
  </si>
  <si>
    <t>Сланцы</t>
  </si>
  <si>
    <t>Торф</t>
  </si>
  <si>
    <t>Мощность организации (для когенерации)</t>
  </si>
  <si>
    <t>ORG_POWER</t>
  </si>
  <si>
    <t>менее 25 МВт</t>
  </si>
  <si>
    <t>более 25 МВт</t>
  </si>
  <si>
    <t>POWER</t>
  </si>
  <si>
    <t>Газовый конденсат</t>
  </si>
  <si>
    <t>SOURCE</t>
  </si>
  <si>
    <t>L2_2_1</t>
  </si>
  <si>
    <t>Дрова</t>
  </si>
  <si>
    <t>Опилки</t>
  </si>
  <si>
    <t>Печное бытовое топливо</t>
  </si>
  <si>
    <t>Прочие виды топлива</t>
  </si>
  <si>
    <t>RST_ORG_ID</t>
  </si>
  <si>
    <r>
      <t>Файл</t>
    </r>
    <r>
      <rPr>
        <sz val="9"/>
        <rFont val="Tahoma"/>
        <family val="2"/>
        <charset val="204"/>
      </rPr>
      <t xml:space="preserve"> (для просмотра щелкните по гиперссылке)</t>
    </r>
  </si>
  <si>
    <t>2) Нажмите кнопку «Выгрузить данные из папки»</t>
  </si>
  <si>
    <t>2) Нажмите кнопку «Сформировать список файлов папки»</t>
  </si>
  <si>
    <t>4) Нажмите кнопку «Добавить данные из файла»</t>
  </si>
  <si>
    <t>Уголь, мазут, дизельное топливо, нефть - руб./т; т</t>
  </si>
  <si>
    <t>Электроэнергия (Энергия) - руб./кВт*час; кВт*час</t>
  </si>
  <si>
    <t>Электроэнергия (Заявленная мощность)  - руб./кВт*мес; МВт</t>
  </si>
  <si>
    <t>W1X_P_NOMER</t>
  </si>
  <si>
    <t>DIFF</t>
  </si>
  <si>
    <t>осуществляет деятельность только в одном МО</t>
  </si>
  <si>
    <t>учёт затрат осуществляется дифференцировано по МО</t>
  </si>
  <si>
    <t>дифференцированный учёт затрат ОКК по МО отсутствует</t>
  </si>
  <si>
    <t>Дифференцированный учёт затрат и расхода топлива по МО</t>
  </si>
  <si>
    <t>ORDER_BY</t>
  </si>
  <si>
    <t>Отчёт заполняется от организации (организаций)</t>
  </si>
  <si>
    <t>NO_MO_BINDING</t>
  </si>
  <si>
    <t>MO_BINDING</t>
  </si>
  <si>
    <t>DIFFERENTIAL_OKK</t>
  </si>
  <si>
    <t>ADD_ORG_FROM_PLAN1X</t>
  </si>
  <si>
    <t>XML_PLAN1X_LIST_ORG_TOTAL_COSTS_TAG_NAMES</t>
  </si>
  <si>
    <t>Расчёт на листе носит исключительно информационный характер</t>
  </si>
  <si>
    <t>Диапазоны раскрыты только для I квартала, поскольку ещё нет информации</t>
  </si>
  <si>
    <t>Все реквизиты</t>
  </si>
  <si>
    <t>Нет доступных обновлений, версия отчёта актуальна</t>
  </si>
  <si>
    <t>RU22</t>
  </si>
  <si>
    <t>RU28</t>
  </si>
  <si>
    <t>RU29</t>
  </si>
  <si>
    <t>RU30</t>
  </si>
  <si>
    <t>RU31</t>
  </si>
  <si>
    <t>RU32</t>
  </si>
  <si>
    <t>RU33</t>
  </si>
  <si>
    <t>RU34</t>
  </si>
  <si>
    <t>RU35</t>
  </si>
  <si>
    <t>RU36</t>
  </si>
  <si>
    <t>RU77</t>
  </si>
  <si>
    <t>Москва</t>
  </si>
  <si>
    <t>г. Байконур</t>
  </si>
  <si>
    <t>RU00</t>
  </si>
  <si>
    <t>г. Санкт-Петербург</t>
  </si>
  <si>
    <t>RU78</t>
  </si>
  <si>
    <t>Cанкт-Петербург</t>
  </si>
  <si>
    <t>RU79</t>
  </si>
  <si>
    <t>RU75</t>
  </si>
  <si>
    <t>RU37</t>
  </si>
  <si>
    <t>RU38</t>
  </si>
  <si>
    <t>RU07</t>
  </si>
  <si>
    <t>Республика Кабардино-Балкария</t>
  </si>
  <si>
    <t>RU39</t>
  </si>
  <si>
    <t>RU40</t>
  </si>
  <si>
    <t>RU41</t>
  </si>
  <si>
    <t>RU09</t>
  </si>
  <si>
    <t>Республика Карачаево-Черкессия</t>
  </si>
  <si>
    <t>RU42</t>
  </si>
  <si>
    <t>RU43</t>
  </si>
  <si>
    <t>RU44</t>
  </si>
  <si>
    <t>RU23</t>
  </si>
  <si>
    <t>RU24</t>
  </si>
  <si>
    <t>RU45</t>
  </si>
  <si>
    <t>RU46</t>
  </si>
  <si>
    <t>RU47</t>
  </si>
  <si>
    <t>RU48</t>
  </si>
  <si>
    <t>RU49</t>
  </si>
  <si>
    <t>RU50</t>
  </si>
  <si>
    <t>RU51</t>
  </si>
  <si>
    <t>RU83</t>
  </si>
  <si>
    <t>RU52</t>
  </si>
  <si>
    <t>RU53</t>
  </si>
  <si>
    <t>RU54</t>
  </si>
  <si>
    <t>RU55</t>
  </si>
  <si>
    <t>RU56</t>
  </si>
  <si>
    <t>RU57</t>
  </si>
  <si>
    <t>RU58</t>
  </si>
  <si>
    <t>RU59</t>
  </si>
  <si>
    <t>RU25</t>
  </si>
  <si>
    <t>RU60</t>
  </si>
  <si>
    <t>RU01</t>
  </si>
  <si>
    <t>RU04</t>
  </si>
  <si>
    <t>RU02</t>
  </si>
  <si>
    <t>RU03</t>
  </si>
  <si>
    <t>RU05</t>
  </si>
  <si>
    <t>RU06</t>
  </si>
  <si>
    <t>RU08</t>
  </si>
  <si>
    <t>RU10</t>
  </si>
  <si>
    <t>RU11</t>
  </si>
  <si>
    <t>RU12</t>
  </si>
  <si>
    <t>RU13</t>
  </si>
  <si>
    <t>RU14</t>
  </si>
  <si>
    <t>RU15</t>
  </si>
  <si>
    <t>Республика Северная Осетия (Алания)</t>
  </si>
  <si>
    <t>RU16</t>
  </si>
  <si>
    <t>RU17</t>
  </si>
  <si>
    <t>Республика Тыва (Тува)</t>
  </si>
  <si>
    <t>RU19</t>
  </si>
  <si>
    <t>RU61</t>
  </si>
  <si>
    <t>RU62</t>
  </si>
  <si>
    <t>RU63</t>
  </si>
  <si>
    <t>RU64</t>
  </si>
  <si>
    <t>RU65</t>
  </si>
  <si>
    <t>RU66</t>
  </si>
  <si>
    <t>RU67</t>
  </si>
  <si>
    <t>RU26</t>
  </si>
  <si>
    <t>RU68</t>
  </si>
  <si>
    <t>RU69</t>
  </si>
  <si>
    <t>RU70</t>
  </si>
  <si>
    <t>RU71</t>
  </si>
  <si>
    <t>RU72</t>
  </si>
  <si>
    <t>RU18</t>
  </si>
  <si>
    <t>Республика Удмуртия</t>
  </si>
  <si>
    <t>RU73</t>
  </si>
  <si>
    <t>RU27</t>
  </si>
  <si>
    <t>RU86</t>
  </si>
  <si>
    <t>RU74</t>
  </si>
  <si>
    <t>RU20</t>
  </si>
  <si>
    <t>Республика Чечня</t>
  </si>
  <si>
    <t>RU21</t>
  </si>
  <si>
    <t>Республика Чувашия</t>
  </si>
  <si>
    <t>RU87</t>
  </si>
  <si>
    <t>RU89</t>
  </si>
  <si>
    <t>RU76</t>
  </si>
  <si>
    <t>Свод отчётов от организаций</t>
  </si>
  <si>
    <t>Выберите отчёт из списка файлов указанной папки</t>
  </si>
  <si>
    <t>Для того чтобы добавить в отчёт данные из других файлов:</t>
  </si>
  <si>
    <t>1) Поместите отчёты, данные из которых необходимо добавить, в одну папку. Наименование этой папки необходимо указать в ячейке «C8»: либо вручную, либо с помощью кнопки «Обзор папок…»</t>
  </si>
  <si>
    <t>Для того чтобы добавить в отчёт данные из одного файла:</t>
  </si>
  <si>
    <t>При запуске функции «Выгрузить данные из всех файлов данной папки» появляется окно «Замена совпадений» с вопросом: «При полном совпадении реквизитов организаций из обрабатываемого отчёта с реквизитами организаций уже присутствующими в данном отчёте, перегружать данные об организациях в данный отчёт?».</t>
  </si>
  <si>
    <t>Лист  «Результаты загрузки» - лист для отображения результатов (ошибок и предупреждений) при переносе данных из других отчётов данного региона.</t>
  </si>
  <si>
    <t>-         «Спрашивать о замене» - при совпадении реквизитов данные организаций будут заменяться данными из добавляемого отчёта, только если вы подтвердите это в окне «Замена совпадений»</t>
  </si>
  <si>
    <t>-         «Всегда заменять» - при совпадении реквизитов данные организаций будут заменяться данными из добавляемого отчёта без подтверждений</t>
  </si>
  <si>
    <t>-         «Пропускать» - при совпадении реквизитов данные организаций не будут заменяться данными из добавляемого отчёта</t>
  </si>
  <si>
    <t>С</t>
  </si>
  <si>
    <t>XML_W1X_TOPL_COMS_TAG_NAMES</t>
  </si>
  <si>
    <t>CMT</t>
  </si>
  <si>
    <t>SCE</t>
  </si>
  <si>
    <t>N</t>
  </si>
  <si>
    <t xml:space="preserve"> (требуется обновление)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</si>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</sst>
</file>

<file path=xl/styles.xml><?xml version="1.0" encoding="utf-8"?>
<styleSheet xmlns="http://schemas.openxmlformats.org/spreadsheetml/2006/main">
  <numFmts count="2">
    <numFmt numFmtId="164" formatCode="&quot;$&quot;#,##0_);[Red]\(&quot;$&quot;#,##0\)"/>
    <numFmt numFmtId="165" formatCode="_-* #,##0.00[$€-1]_-;\-* #,##0.00[$€-1]_-;_-* &quot;-&quot;??[$€-1]_-"/>
  </numFmts>
  <fonts count="8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9"/>
      <color indexed="9"/>
      <name val="Tahoma"/>
      <family val="2"/>
      <charset val="204"/>
    </font>
    <font>
      <sz val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9"/>
      <color indexed="10"/>
      <name val="Tahoma"/>
      <family val="2"/>
      <charset val="204"/>
    </font>
    <font>
      <sz val="9"/>
      <color indexed="14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9"/>
      <color indexed="8"/>
      <name val="Tahoma"/>
      <family val="2"/>
      <charset val="204"/>
    </font>
    <font>
      <sz val="10"/>
      <name val="Arial Cyr"/>
    </font>
    <font>
      <sz val="8"/>
      <name val="Palatino"/>
      <family val="1"/>
    </font>
    <font>
      <u/>
      <sz val="10"/>
      <color indexed="36"/>
      <name val="Arial Cyr"/>
      <charset val="204"/>
    </font>
    <font>
      <sz val="10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u/>
      <sz val="9"/>
      <name val="Tahoma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12"/>
      <name val="Marlett"/>
      <charset val="2"/>
    </font>
    <font>
      <sz val="9"/>
      <color indexed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18"/>
      <name val="Tahoma"/>
      <family val="2"/>
      <charset val="204"/>
    </font>
    <font>
      <sz val="9"/>
      <color indexed="53"/>
      <name val="Tahoma"/>
      <family val="2"/>
      <charset val="204"/>
    </font>
    <font>
      <sz val="11"/>
      <color indexed="10"/>
      <name val="Tahoma"/>
      <family val="2"/>
      <charset val="204"/>
    </font>
    <font>
      <sz val="8"/>
      <name val="Tahoma"/>
      <family val="2"/>
      <charset val="204"/>
    </font>
    <font>
      <u/>
      <sz val="10"/>
      <color indexed="12"/>
      <name val="Tahoma"/>
      <family val="2"/>
      <charset val="204"/>
    </font>
    <font>
      <sz val="12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1"/>
      <color indexed="12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0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9"/>
      <name val="Tahoma"/>
      <family val="2"/>
      <charset val="204"/>
    </font>
    <font>
      <vertAlign val="superscript"/>
      <sz val="9"/>
      <color indexed="9"/>
      <name val="Tahoma"/>
      <family val="2"/>
      <charset val="204"/>
    </font>
    <font>
      <sz val="14"/>
      <name val="Tahoma"/>
      <family val="2"/>
      <charset val="204"/>
    </font>
    <font>
      <sz val="14"/>
      <color indexed="10"/>
      <name val="Tahoma"/>
      <family val="2"/>
      <charset val="204"/>
    </font>
    <font>
      <sz val="14"/>
      <color indexed="9"/>
      <name val="Tahoma"/>
      <family val="2"/>
      <charset val="204"/>
    </font>
    <font>
      <sz val="10"/>
      <name val="Helv"/>
      <charset val="204"/>
    </font>
    <font>
      <sz val="8"/>
      <name val="Arial"/>
      <family val="2"/>
      <charset val="204"/>
    </font>
    <font>
      <sz val="14"/>
      <color indexed="18"/>
      <name val="Tahoma"/>
      <family val="2"/>
      <charset val="204"/>
    </font>
    <font>
      <u/>
      <sz val="9"/>
      <color indexed="32"/>
      <name val="Tahoma"/>
      <family val="2"/>
      <charset val="204"/>
    </font>
    <font>
      <b/>
      <sz val="11"/>
      <color indexed="22"/>
      <name val="Wingdings 2"/>
      <family val="1"/>
      <charset val="2"/>
    </font>
    <font>
      <b/>
      <u/>
      <sz val="10"/>
      <color indexed="12"/>
      <name val="Tahoma"/>
      <family val="2"/>
      <charset val="204"/>
    </font>
    <font>
      <sz val="8"/>
      <color indexed="10"/>
      <name val="Tahoma"/>
      <family val="2"/>
      <charset val="204"/>
    </font>
    <font>
      <b/>
      <sz val="12"/>
      <color indexed="18"/>
      <name val="Tahoma"/>
      <family val="2"/>
      <charset val="204"/>
    </font>
    <font>
      <sz val="10"/>
      <color indexed="9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indexed="9"/>
      <name val="Tahoma"/>
      <family val="2"/>
      <charset val="204"/>
    </font>
    <font>
      <b/>
      <sz val="10"/>
      <name val="Tahoma"/>
      <family val="2"/>
      <charset val="204"/>
    </font>
    <font>
      <u/>
      <sz val="20"/>
      <color indexed="56"/>
      <name val="Tahoma"/>
      <family val="2"/>
      <charset val="204"/>
    </font>
    <font>
      <sz val="10"/>
      <color indexed="8"/>
      <name val="Tahoma"/>
      <family val="2"/>
      <charset val="204"/>
    </font>
    <font>
      <sz val="11"/>
      <color indexed="8"/>
      <name val="Marlett"/>
      <charset val="2"/>
    </font>
    <font>
      <b/>
      <sz val="10"/>
      <color indexed="8"/>
      <name val="Tahoma"/>
      <family val="2"/>
      <charset val="204"/>
    </font>
    <font>
      <u/>
      <sz val="9"/>
      <color indexed="18"/>
      <name val="Tahoma"/>
      <family val="2"/>
      <charset val="204"/>
    </font>
    <font>
      <u/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color indexed="22"/>
      <name val="Tahoma"/>
      <family val="2"/>
      <charset val="204"/>
    </font>
    <font>
      <sz val="8"/>
      <color indexed="9"/>
      <name val="Tahoma"/>
      <family val="2"/>
      <charset val="204"/>
    </font>
    <font>
      <u/>
      <sz val="10"/>
      <color indexed="18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lightDown">
        <fgColor indexed="44"/>
        <bgColor indexed="9"/>
      </patternFill>
    </fill>
    <fill>
      <patternFill patternType="lightDown">
        <fgColor indexed="44"/>
        <bgColor indexed="31"/>
      </patternFill>
    </fill>
    <fill>
      <patternFill patternType="solid">
        <fgColor indexed="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hair">
        <color indexed="22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49" fontId="0" fillId="0" borderId="0" applyBorder="0">
      <alignment vertical="top"/>
    </xf>
    <xf numFmtId="0" fontId="2" fillId="0" borderId="0"/>
    <xf numFmtId="165" fontId="2" fillId="0" borderId="0"/>
    <xf numFmtId="0" fontId="47" fillId="0" borderId="0"/>
    <xf numFmtId="38" fontId="48" fillId="0" borderId="0">
      <alignment vertical="top"/>
    </xf>
    <xf numFmtId="38" fontId="48" fillId="0" borderId="0">
      <alignment vertical="top"/>
    </xf>
    <xf numFmtId="38" fontId="48" fillId="0" borderId="0">
      <alignment vertical="top"/>
    </xf>
    <xf numFmtId="38" fontId="48" fillId="0" borderId="0">
      <alignment vertical="top"/>
    </xf>
    <xf numFmtId="38" fontId="48" fillId="0" borderId="0">
      <alignment vertical="top"/>
    </xf>
    <xf numFmtId="38" fontId="48" fillId="0" borderId="0">
      <alignment vertical="top"/>
    </xf>
    <xf numFmtId="38" fontId="48" fillId="0" borderId="0">
      <alignment vertical="top"/>
    </xf>
    <xf numFmtId="38" fontId="48" fillId="0" borderId="0">
      <alignment vertical="top"/>
    </xf>
    <xf numFmtId="38" fontId="48" fillId="0" borderId="0">
      <alignment vertical="top"/>
    </xf>
    <xf numFmtId="38" fontId="48" fillId="0" borderId="0">
      <alignment vertical="top"/>
    </xf>
    <xf numFmtId="38" fontId="48" fillId="0" borderId="0">
      <alignment vertical="top"/>
    </xf>
    <xf numFmtId="38" fontId="48" fillId="0" borderId="0">
      <alignment vertical="top"/>
    </xf>
    <xf numFmtId="164" fontId="3" fillId="0" borderId="0" applyFont="0" applyFill="0" applyBorder="0" applyAlignment="0" applyProtection="0"/>
    <xf numFmtId="0" fontId="21" fillId="0" borderId="0" applyFill="0" applyBorder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21" fillId="0" borderId="0" applyFill="0" applyBorder="0" applyProtection="0">
      <alignment vertical="center"/>
    </xf>
    <xf numFmtId="0" fontId="21" fillId="0" borderId="0" applyFill="0" applyBorder="0" applyProtection="0">
      <alignment vertical="center"/>
    </xf>
    <xf numFmtId="0" fontId="10" fillId="2" borderId="1" applyNumberFormat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49" fontId="63" fillId="0" borderId="0" applyNumberFormat="0" applyFill="0" applyBorder="0" applyAlignment="0" applyProtection="0">
      <alignment vertical="top"/>
    </xf>
    <xf numFmtId="0" fontId="37" fillId="0" borderId="0" applyNumberFormat="0" applyFill="0" applyBorder="0" applyAlignment="0" applyProtection="0">
      <alignment vertical="top"/>
      <protection locked="0"/>
    </xf>
    <xf numFmtId="0" fontId="7" fillId="0" borderId="2" applyBorder="0">
      <alignment horizontal="center" vertical="center" wrapText="1"/>
    </xf>
    <xf numFmtId="4" fontId="5" fillId="3" borderId="3" applyBorder="0">
      <alignment horizontal="right"/>
    </xf>
    <xf numFmtId="49" fontId="5" fillId="0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1" fillId="0" borderId="0"/>
    <xf numFmtId="0" fontId="9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0" fillId="0" borderId="0"/>
    <xf numFmtId="4" fontId="5" fillId="4" borderId="0" applyBorder="0">
      <alignment horizontal="right"/>
    </xf>
    <xf numFmtId="0" fontId="70" fillId="0" borderId="0" applyNumberFormat="0" applyFill="0" applyBorder="0" applyAlignment="0" applyProtection="0"/>
    <xf numFmtId="0" fontId="71" fillId="0" borderId="28" applyNumberFormat="0" applyFill="0" applyAlignment="0" applyProtection="0"/>
    <xf numFmtId="0" fontId="72" fillId="0" borderId="29" applyNumberFormat="0" applyFill="0" applyAlignment="0" applyProtection="0"/>
    <xf numFmtId="0" fontId="73" fillId="0" borderId="30" applyNumberFormat="0" applyFill="0" applyAlignment="0" applyProtection="0"/>
    <xf numFmtId="0" fontId="73" fillId="0" borderId="0" applyNumberFormat="0" applyFill="0" applyBorder="0" applyAlignment="0" applyProtection="0"/>
    <xf numFmtId="0" fontId="74" fillId="17" borderId="0" applyNumberFormat="0" applyBorder="0" applyAlignment="0" applyProtection="0"/>
    <xf numFmtId="0" fontId="75" fillId="18" borderId="0" applyNumberFormat="0" applyBorder="0" applyAlignment="0" applyProtection="0"/>
    <xf numFmtId="0" fontId="76" fillId="19" borderId="0" applyNumberFormat="0" applyBorder="0" applyAlignment="0" applyProtection="0"/>
    <xf numFmtId="0" fontId="77" fillId="20" borderId="31" applyNumberFormat="0" applyAlignment="0" applyProtection="0"/>
    <xf numFmtId="0" fontId="78" fillId="20" borderId="32" applyNumberFormat="0" applyAlignment="0" applyProtection="0"/>
    <xf numFmtId="0" fontId="79" fillId="0" borderId="33" applyNumberFormat="0" applyFill="0" applyAlignment="0" applyProtection="0"/>
    <xf numFmtId="0" fontId="80" fillId="21" borderId="34" applyNumberFormat="0" applyAlignment="0" applyProtection="0"/>
    <xf numFmtId="0" fontId="81" fillId="0" borderId="0" applyNumberFormat="0" applyFill="0" applyBorder="0" applyAlignment="0" applyProtection="0"/>
    <xf numFmtId="0" fontId="5" fillId="22" borderId="35" applyNumberFormat="0" applyFont="0" applyAlignment="0" applyProtection="0"/>
    <xf numFmtId="0" fontId="82" fillId="0" borderId="0" applyNumberFormat="0" applyFill="0" applyBorder="0" applyAlignment="0" applyProtection="0"/>
    <xf numFmtId="0" fontId="83" fillId="0" borderId="36" applyNumberFormat="0" applyFill="0" applyAlignment="0" applyProtection="0"/>
    <xf numFmtId="0" fontId="84" fillId="23" borderId="0" applyNumberFormat="0" applyBorder="0" applyAlignment="0" applyProtection="0"/>
    <xf numFmtId="0" fontId="85" fillId="24" borderId="0" applyNumberFormat="0" applyBorder="0" applyAlignment="0" applyProtection="0"/>
    <xf numFmtId="0" fontId="85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5" fillId="28" borderId="0" applyNumberFormat="0" applyBorder="0" applyAlignment="0" applyProtection="0"/>
    <xf numFmtId="0" fontId="85" fillId="29" borderId="0" applyNumberFormat="0" applyBorder="0" applyAlignment="0" applyProtection="0"/>
    <xf numFmtId="0" fontId="84" fillId="30" borderId="0" applyNumberFormat="0" applyBorder="0" applyAlignment="0" applyProtection="0"/>
    <xf numFmtId="0" fontId="84" fillId="31" borderId="0" applyNumberFormat="0" applyBorder="0" applyAlignment="0" applyProtection="0"/>
    <xf numFmtId="0" fontId="85" fillId="32" borderId="0" applyNumberFormat="0" applyBorder="0" applyAlignment="0" applyProtection="0"/>
    <xf numFmtId="0" fontId="85" fillId="33" borderId="0" applyNumberFormat="0" applyBorder="0" applyAlignment="0" applyProtection="0"/>
    <xf numFmtId="0" fontId="84" fillId="34" borderId="0" applyNumberFormat="0" applyBorder="0" applyAlignment="0" applyProtection="0"/>
    <xf numFmtId="0" fontId="84" fillId="35" borderId="0" applyNumberFormat="0" applyBorder="0" applyAlignment="0" applyProtection="0"/>
    <xf numFmtId="0" fontId="85" fillId="36" borderId="0" applyNumberFormat="0" applyBorder="0" applyAlignment="0" applyProtection="0"/>
    <xf numFmtId="0" fontId="85" fillId="37" borderId="0" applyNumberFormat="0" applyBorder="0" applyAlignment="0" applyProtection="0"/>
    <xf numFmtId="0" fontId="84" fillId="38" borderId="0" applyNumberFormat="0" applyBorder="0" applyAlignment="0" applyProtection="0"/>
    <xf numFmtId="0" fontId="84" fillId="39" borderId="0" applyNumberFormat="0" applyBorder="0" applyAlignment="0" applyProtection="0"/>
    <xf numFmtId="0" fontId="85" fillId="40" borderId="0" applyNumberFormat="0" applyBorder="0" applyAlignment="0" applyProtection="0"/>
    <xf numFmtId="0" fontId="85" fillId="41" borderId="0" applyNumberFormat="0" applyBorder="0" applyAlignment="0" applyProtection="0"/>
    <xf numFmtId="0" fontId="84" fillId="42" borderId="0" applyNumberFormat="0" applyBorder="0" applyAlignment="0" applyProtection="0"/>
    <xf numFmtId="0" fontId="84" fillId="43" borderId="0" applyNumberFormat="0" applyBorder="0" applyAlignment="0" applyProtection="0"/>
    <xf numFmtId="0" fontId="85" fillId="44" borderId="0" applyNumberFormat="0" applyBorder="0" applyAlignment="0" applyProtection="0"/>
    <xf numFmtId="0" fontId="85" fillId="45" borderId="0" applyNumberFormat="0" applyBorder="0" applyAlignment="0" applyProtection="0"/>
    <xf numFmtId="0" fontId="84" fillId="46" borderId="0" applyNumberFormat="0" applyBorder="0" applyAlignment="0" applyProtection="0"/>
  </cellStyleXfs>
  <cellXfs count="507">
    <xf numFmtId="49" fontId="0" fillId="0" borderId="0" xfId="0">
      <alignment vertical="top"/>
    </xf>
    <xf numFmtId="49" fontId="5" fillId="0" borderId="0" xfId="0" applyFont="1" applyAlignment="1" applyProtection="1">
      <alignment vertical="center" wrapText="1"/>
    </xf>
    <xf numFmtId="49" fontId="0" fillId="0" borderId="0" xfId="0" applyNumberFormat="1" applyProtection="1">
      <alignment vertical="top"/>
    </xf>
    <xf numFmtId="0" fontId="11" fillId="0" borderId="0" xfId="38" applyFont="1" applyFill="1" applyAlignment="1" applyProtection="1">
      <alignment wrapText="1"/>
    </xf>
    <xf numFmtId="0" fontId="11" fillId="0" borderId="0" xfId="38" applyNumberFormat="1" applyFont="1" applyAlignment="1" applyProtection="1">
      <alignment wrapText="1"/>
    </xf>
    <xf numFmtId="0" fontId="11" fillId="0" borderId="0" xfId="38" applyFont="1" applyAlignment="1" applyProtection="1">
      <alignment wrapText="1"/>
    </xf>
    <xf numFmtId="0" fontId="16" fillId="5" borderId="0" xfId="38" applyFont="1" applyFill="1" applyBorder="1" applyAlignment="1" applyProtection="1">
      <alignment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Alignment="1" applyProtection="1">
      <alignment horizontal="center" vertical="center" wrapText="1"/>
    </xf>
    <xf numFmtId="0" fontId="11" fillId="5" borderId="0" xfId="38" applyFont="1" applyFill="1" applyBorder="1" applyAlignment="1" applyProtection="1">
      <alignment horizontal="center" vertical="center" wrapText="1"/>
    </xf>
    <xf numFmtId="49" fontId="14" fillId="0" borderId="0" xfId="0" applyFont="1" applyAlignment="1" applyProtection="1">
      <alignment vertical="center" wrapText="1"/>
    </xf>
    <xf numFmtId="49" fontId="14" fillId="0" borderId="0" xfId="0" applyFont="1" applyAlignment="1" applyProtection="1">
      <alignment horizontal="left" vertical="center" wrapText="1"/>
    </xf>
    <xf numFmtId="49" fontId="14" fillId="0" borderId="0" xfId="0" applyFont="1" applyAlignment="1" applyProtection="1">
      <alignment horizontal="center" vertical="center" wrapText="1"/>
    </xf>
    <xf numFmtId="0" fontId="11" fillId="0" borderId="0" xfId="38" applyNumberFormat="1" applyFont="1" applyAlignment="1" applyProtection="1">
      <alignment vertical="center" wrapText="1"/>
    </xf>
    <xf numFmtId="0" fontId="11" fillId="0" borderId="0" xfId="38" applyNumberFormat="1" applyFont="1" applyFill="1" applyBorder="1" applyAlignment="1" applyProtection="1">
      <alignment vertical="center" wrapText="1"/>
    </xf>
    <xf numFmtId="0" fontId="11" fillId="0" borderId="0" xfId="45" applyNumberFormat="1" applyFont="1" applyFill="1" applyBorder="1" applyAlignment="1" applyProtection="1">
      <alignment horizontal="center" vertical="center" wrapText="1"/>
    </xf>
    <xf numFmtId="49" fontId="0" fillId="0" borderId="0" xfId="0" applyNumberFormat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0" borderId="0" xfId="0" applyFont="1" applyBorder="1" applyAlignment="1" applyProtection="1">
      <alignment vertical="center" wrapText="1"/>
    </xf>
    <xf numFmtId="49" fontId="19" fillId="0" borderId="0" xfId="0" applyFont="1" applyBorder="1" applyAlignment="1" applyProtection="1">
      <alignment horizontal="center" vertical="center"/>
    </xf>
    <xf numFmtId="0" fontId="5" fillId="0" borderId="0" xfId="33" applyFont="1" applyAlignment="1" applyProtection="1">
      <alignment vertical="center" wrapText="1"/>
    </xf>
    <xf numFmtId="0" fontId="5" fillId="5" borderId="0" xfId="33" applyFont="1" applyFill="1" applyBorder="1" applyAlignment="1" applyProtection="1">
      <alignment vertical="center" wrapText="1"/>
    </xf>
    <xf numFmtId="49" fontId="11" fillId="0" borderId="0" xfId="35" applyFont="1" applyAlignment="1" applyProtection="1">
      <alignment horizontal="center" vertical="center" wrapText="1"/>
    </xf>
    <xf numFmtId="49" fontId="5" fillId="0" borderId="0" xfId="35" applyFont="1" applyAlignment="1" applyProtection="1">
      <alignment vertical="center" wrapText="1"/>
    </xf>
    <xf numFmtId="49" fontId="5" fillId="0" borderId="0" xfId="35" applyFont="1" applyAlignment="1" applyProtection="1">
      <alignment horizontal="left" vertical="center" wrapText="1"/>
    </xf>
    <xf numFmtId="49" fontId="11" fillId="0" borderId="0" xfId="35" applyFont="1" applyAlignment="1" applyProtection="1">
      <alignment vertical="center"/>
    </xf>
    <xf numFmtId="49" fontId="5" fillId="0" borderId="0" xfId="35" applyFont="1" applyAlignment="1" applyProtection="1">
      <alignment horizontal="right" vertical="center" wrapText="1" indent="2"/>
    </xf>
    <xf numFmtId="49" fontId="5" fillId="0" borderId="0" xfId="35" applyFont="1" applyAlignment="1" applyProtection="1">
      <alignment horizontal="left" vertical="center" wrapText="1" indent="2"/>
    </xf>
    <xf numFmtId="0" fontId="11" fillId="0" borderId="0" xfId="37" applyFont="1" applyFill="1" applyAlignment="1" applyProtection="1">
      <alignment vertical="center" wrapText="1"/>
    </xf>
    <xf numFmtId="0" fontId="11" fillId="0" borderId="0" xfId="37" applyFont="1" applyFill="1" applyAlignment="1" applyProtection="1">
      <alignment horizontal="left" vertical="center" wrapText="1"/>
    </xf>
    <xf numFmtId="0" fontId="15" fillId="0" borderId="0" xfId="37" applyFont="1" applyAlignment="1" applyProtection="1">
      <alignment vertical="center" wrapText="1"/>
    </xf>
    <xf numFmtId="0" fontId="5" fillId="0" borderId="0" xfId="37" applyFont="1" applyAlignment="1" applyProtection="1">
      <alignment vertical="center" wrapText="1"/>
    </xf>
    <xf numFmtId="0" fontId="5" fillId="0" borderId="0" xfId="37" applyFont="1" applyFill="1" applyAlignment="1" applyProtection="1">
      <alignment vertical="center" wrapText="1"/>
    </xf>
    <xf numFmtId="0" fontId="23" fillId="0" borderId="0" xfId="37" applyNumberFormat="1" applyFont="1" applyFill="1" applyAlignment="1" applyProtection="1">
      <alignment vertical="center"/>
    </xf>
    <xf numFmtId="0" fontId="23" fillId="0" borderId="0" xfId="37" applyFont="1" applyFill="1" applyAlignment="1" applyProtection="1">
      <alignment horizontal="left" vertical="center"/>
    </xf>
    <xf numFmtId="0" fontId="23" fillId="0" borderId="0" xfId="37" applyFont="1" applyAlignment="1" applyProtection="1">
      <alignment vertical="center"/>
    </xf>
    <xf numFmtId="0" fontId="23" fillId="0" borderId="0" xfId="37" applyFont="1" applyAlignment="1" applyProtection="1">
      <alignment vertical="center" wrapText="1"/>
    </xf>
    <xf numFmtId="0" fontId="23" fillId="0" borderId="0" xfId="37" applyFont="1" applyFill="1" applyAlignment="1" applyProtection="1">
      <alignment vertical="center" wrapText="1"/>
    </xf>
    <xf numFmtId="0" fontId="23" fillId="0" borderId="0" xfId="37" applyFont="1" applyFill="1" applyAlignment="1" applyProtection="1">
      <alignment vertical="center"/>
    </xf>
    <xf numFmtId="0" fontId="24" fillId="0" borderId="0" xfId="37" applyFont="1" applyAlignment="1" applyProtection="1">
      <alignment vertical="center"/>
    </xf>
    <xf numFmtId="0" fontId="18" fillId="0" borderId="0" xfId="40" applyFont="1" applyFill="1" applyBorder="1" applyAlignment="1" applyProtection="1">
      <alignment vertical="center" wrapText="1"/>
    </xf>
    <xf numFmtId="0" fontId="18" fillId="0" borderId="0" xfId="37" applyFont="1" applyAlignment="1" applyProtection="1">
      <alignment vertical="center" wrapText="1"/>
    </xf>
    <xf numFmtId="0" fontId="18" fillId="5" borderId="0" xfId="40" applyFont="1" applyFill="1" applyBorder="1" applyAlignment="1" applyProtection="1">
      <alignment vertical="center" wrapText="1"/>
    </xf>
    <xf numFmtId="0" fontId="5" fillId="5" borderId="0" xfId="41" applyFont="1" applyFill="1" applyBorder="1" applyAlignment="1" applyProtection="1">
      <alignment vertical="center" wrapText="1"/>
    </xf>
    <xf numFmtId="0" fontId="5" fillId="0" borderId="0" xfId="41" applyFont="1" applyFill="1" applyBorder="1" applyAlignment="1" applyProtection="1">
      <alignment vertical="center" wrapText="1"/>
    </xf>
    <xf numFmtId="49" fontId="0" fillId="0" borderId="0" xfId="0" applyBorder="1" applyAlignment="1">
      <alignment vertical="center"/>
    </xf>
    <xf numFmtId="0" fontId="5" fillId="0" borderId="0" xfId="47" applyFont="1" applyAlignment="1" applyProtection="1">
      <alignment vertical="center" wrapText="1"/>
    </xf>
    <xf numFmtId="0" fontId="5" fillId="0" borderId="0" xfId="47" applyFont="1" applyFill="1" applyAlignment="1" applyProtection="1">
      <alignment vertical="center" wrapText="1"/>
    </xf>
    <xf numFmtId="49" fontId="5" fillId="0" borderId="0" xfId="47" applyNumberFormat="1" applyFont="1" applyAlignment="1" applyProtection="1">
      <alignment vertical="center" wrapText="1"/>
    </xf>
    <xf numFmtId="0" fontId="11" fillId="5" borderId="0" xfId="47" applyFont="1" applyFill="1" applyBorder="1" applyAlignment="1" applyProtection="1">
      <alignment horizontal="right" vertical="center" wrapText="1"/>
    </xf>
    <xf numFmtId="0" fontId="11" fillId="5" borderId="0" xfId="47" applyFont="1" applyFill="1" applyBorder="1" applyAlignment="1" applyProtection="1">
      <alignment horizontal="center" vertical="center" wrapText="1"/>
    </xf>
    <xf numFmtId="0" fontId="5" fillId="0" borderId="0" xfId="47" applyFont="1" applyAlignment="1" applyProtection="1">
      <alignment horizontal="center" vertical="center" wrapText="1"/>
    </xf>
    <xf numFmtId="0" fontId="11" fillId="0" borderId="0" xfId="38" applyFont="1" applyBorder="1" applyAlignment="1" applyProtection="1">
      <alignment wrapText="1"/>
    </xf>
    <xf numFmtId="0" fontId="18" fillId="5" borderId="0" xfId="36" applyFont="1" applyFill="1" applyBorder="1" applyAlignment="1" applyProtection="1">
      <alignment horizontal="right" vertical="center" wrapText="1" indent="1"/>
    </xf>
    <xf numFmtId="49" fontId="18" fillId="5" borderId="0" xfId="0" applyFont="1" applyFill="1" applyBorder="1" applyAlignment="1" applyProtection="1">
      <alignment horizontal="right" vertical="center" wrapText="1" indent="1"/>
    </xf>
    <xf numFmtId="0" fontId="5" fillId="0" borderId="0" xfId="47" applyFont="1" applyBorder="1" applyAlignment="1" applyProtection="1">
      <alignment vertical="center" wrapText="1"/>
    </xf>
    <xf numFmtId="0" fontId="5" fillId="5" borderId="0" xfId="47" applyFont="1" applyFill="1" applyBorder="1" applyAlignment="1" applyProtection="1">
      <alignment horizontal="center" vertical="center" wrapText="1"/>
    </xf>
    <xf numFmtId="49" fontId="0" fillId="0" borderId="0" xfId="0" applyFont="1">
      <alignment vertical="top"/>
    </xf>
    <xf numFmtId="49" fontId="0" fillId="0" borderId="0" xfId="0" applyFont="1" applyBorder="1">
      <alignment vertical="top"/>
    </xf>
    <xf numFmtId="0" fontId="5" fillId="5" borderId="0" xfId="38" applyFont="1" applyFill="1" applyBorder="1" applyAlignment="1" applyProtection="1">
      <alignment horizontal="center" vertical="center" wrapText="1"/>
    </xf>
    <xf numFmtId="0" fontId="5" fillId="0" borderId="0" xfId="38" applyFont="1" applyAlignment="1" applyProtection="1">
      <alignment wrapText="1"/>
    </xf>
    <xf numFmtId="49" fontId="26" fillId="0" borderId="0" xfId="0" applyFont="1" applyProtection="1">
      <alignment vertical="top"/>
    </xf>
    <xf numFmtId="0" fontId="5" fillId="0" borderId="0" xfId="38" applyFont="1" applyBorder="1" applyAlignment="1" applyProtection="1">
      <alignment wrapText="1"/>
    </xf>
    <xf numFmtId="49" fontId="5" fillId="0" borderId="0" xfId="47" applyNumberFormat="1" applyFont="1" applyBorder="1" applyAlignment="1" applyProtection="1">
      <alignment vertical="center" wrapText="1"/>
    </xf>
    <xf numFmtId="49" fontId="5" fillId="0" borderId="0" xfId="32" applyNumberFormat="1" applyProtection="1">
      <alignment vertical="top"/>
    </xf>
    <xf numFmtId="49" fontId="7" fillId="5" borderId="3" xfId="47" applyNumberFormat="1" applyFont="1" applyFill="1" applyBorder="1" applyAlignment="1" applyProtection="1">
      <alignment horizontal="left" vertical="center" wrapText="1" indent="1"/>
    </xf>
    <xf numFmtId="49" fontId="0" fillId="0" borderId="0" xfId="0" applyFont="1" applyAlignment="1">
      <alignment vertical="top" wrapText="1"/>
    </xf>
    <xf numFmtId="0" fontId="5" fillId="5" borderId="0" xfId="47" applyFont="1" applyFill="1" applyBorder="1" applyAlignment="1" applyProtection="1">
      <alignment vertical="center" wrapText="1"/>
    </xf>
    <xf numFmtId="0" fontId="0" fillId="0" borderId="0" xfId="30" applyNumberFormat="1" applyFont="1" applyAlignment="1" applyProtection="1">
      <alignment horizontal="left" vertical="top" wrapText="1"/>
    </xf>
    <xf numFmtId="49" fontId="5" fillId="0" borderId="0" xfId="30" applyProtection="1">
      <alignment vertical="top"/>
    </xf>
    <xf numFmtId="0" fontId="0" fillId="0" borderId="0" xfId="30" applyNumberFormat="1" applyFont="1" applyAlignment="1" applyProtection="1">
      <alignment vertical="top" wrapText="1"/>
    </xf>
    <xf numFmtId="49" fontId="5" fillId="0" borderId="0" xfId="30" applyFont="1" applyProtection="1">
      <alignment vertical="top"/>
    </xf>
    <xf numFmtId="49" fontId="5" fillId="5" borderId="0" xfId="47" applyNumberFormat="1" applyFont="1" applyFill="1" applyBorder="1" applyAlignment="1" applyProtection="1">
      <alignment vertical="center" wrapText="1"/>
    </xf>
    <xf numFmtId="0" fontId="18" fillId="5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vertical="center"/>
    </xf>
    <xf numFmtId="49" fontId="19" fillId="0" borderId="0" xfId="0" applyFont="1" applyBorder="1" applyAlignment="1" applyProtection="1">
      <alignment horizontal="left" vertical="center"/>
    </xf>
    <xf numFmtId="49" fontId="25" fillId="5" borderId="0" xfId="0" applyFont="1" applyFill="1" applyBorder="1" applyAlignment="1">
      <alignment vertical="center"/>
    </xf>
    <xf numFmtId="0" fontId="25" fillId="5" borderId="0" xfId="43" applyNumberFormat="1" applyFont="1" applyFill="1" applyBorder="1" applyAlignment="1" applyProtection="1">
      <alignment vertical="center" wrapText="1"/>
    </xf>
    <xf numFmtId="0" fontId="5" fillId="5" borderId="0" xfId="43" applyNumberFormat="1" applyFont="1" applyFill="1" applyBorder="1" applyAlignment="1" applyProtection="1">
      <alignment horizontal="center" vertical="center" wrapText="1"/>
    </xf>
    <xf numFmtId="0" fontId="1" fillId="0" borderId="0" xfId="31"/>
    <xf numFmtId="0" fontId="18" fillId="0" borderId="0" xfId="47" applyNumberFormat="1" applyFont="1" applyFill="1" applyBorder="1" applyAlignment="1" applyProtection="1">
      <alignment vertical="center" wrapText="1"/>
    </xf>
    <xf numFmtId="0" fontId="15" fillId="0" borderId="0" xfId="0" applyNumberFormat="1" applyFont="1" applyBorder="1" applyAlignment="1">
      <alignment vertical="center" wrapText="1"/>
    </xf>
    <xf numFmtId="4" fontId="11" fillId="5" borderId="0" xfId="0" applyNumberFormat="1" applyFont="1" applyFill="1" applyBorder="1" applyAlignment="1" applyProtection="1">
      <alignment horizontal="center" vertical="center" wrapText="1"/>
    </xf>
    <xf numFmtId="0" fontId="18" fillId="0" borderId="0" xfId="47" applyNumberFormat="1" applyFont="1" applyFill="1" applyBorder="1" applyAlignment="1" applyProtection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11" fillId="6" borderId="0" xfId="0" applyNumberFormat="1" applyFont="1" applyFill="1" applyAlignment="1">
      <alignment horizontal="center" vertical="center"/>
    </xf>
    <xf numFmtId="49" fontId="5" fillId="7" borderId="0" xfId="40" applyNumberFormat="1" applyFont="1" applyFill="1" applyAlignment="1" applyProtection="1">
      <alignment vertical="center"/>
    </xf>
    <xf numFmtId="49" fontId="11" fillId="0" borderId="0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>
      <alignment vertical="center" wrapText="1"/>
    </xf>
    <xf numFmtId="49" fontId="0" fillId="8" borderId="0" xfId="0" applyNumberFormat="1" applyFill="1" applyBorder="1" applyAlignment="1" applyProtection="1">
      <alignment horizontal="left" vertical="center" wrapText="1"/>
    </xf>
    <xf numFmtId="49" fontId="11" fillId="9" borderId="0" xfId="0" applyNumberFormat="1" applyFont="1" applyFill="1" applyAlignment="1">
      <alignment horizontal="center" vertical="center"/>
    </xf>
    <xf numFmtId="49" fontId="0" fillId="7" borderId="0" xfId="0" applyNumberFormat="1" applyFont="1" applyFill="1" applyAlignment="1">
      <alignment horizontal="right" vertical="center"/>
    </xf>
    <xf numFmtId="49" fontId="0" fillId="7" borderId="0" xfId="0" applyNumberFormat="1" applyFill="1" applyAlignment="1">
      <alignment horizontal="right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vertical="center" wrapText="1"/>
    </xf>
    <xf numFmtId="0" fontId="23" fillId="0" borderId="0" xfId="40" applyFont="1" applyFill="1" applyBorder="1" applyAlignment="1" applyProtection="1">
      <alignment vertical="center" wrapText="1"/>
    </xf>
    <xf numFmtId="0" fontId="5" fillId="0" borderId="0" xfId="38" applyNumberFormat="1" applyFont="1" applyAlignment="1" applyProtection="1">
      <alignment vertical="center" wrapText="1"/>
    </xf>
    <xf numFmtId="0" fontId="5" fillId="0" borderId="0" xfId="37" applyFont="1" applyAlignment="1" applyProtection="1">
      <alignment horizontal="right" vertical="center" wrapText="1"/>
    </xf>
    <xf numFmtId="0" fontId="11" fillId="0" borderId="0" xfId="41" applyFont="1" applyFill="1" applyBorder="1" applyAlignment="1" applyProtection="1">
      <alignment horizontal="center" vertical="center" wrapText="1"/>
    </xf>
    <xf numFmtId="0" fontId="11" fillId="0" borderId="0" xfId="37" applyFont="1" applyAlignment="1" applyProtection="1">
      <alignment vertical="center" wrapText="1"/>
    </xf>
    <xf numFmtId="0" fontId="5" fillId="5" borderId="0" xfId="38" applyNumberFormat="1" applyFont="1" applyFill="1" applyBorder="1" applyAlignment="1" applyProtection="1">
      <alignment vertical="center" wrapText="1"/>
    </xf>
    <xf numFmtId="0" fontId="5" fillId="5" borderId="0" xfId="43" applyNumberFormat="1" applyFont="1" applyFill="1" applyBorder="1" applyAlignment="1" applyProtection="1">
      <alignment vertical="center" wrapText="1"/>
    </xf>
    <xf numFmtId="49" fontId="0" fillId="0" borderId="0" xfId="0" applyFont="1" applyBorder="1" applyAlignment="1">
      <alignment vertical="center"/>
    </xf>
    <xf numFmtId="0" fontId="5" fillId="5" borderId="0" xfId="45" applyNumberFormat="1" applyFont="1" applyFill="1" applyBorder="1" applyAlignment="1" applyProtection="1">
      <alignment horizontal="right" vertical="center" wrapText="1" indent="1"/>
    </xf>
    <xf numFmtId="49" fontId="0" fillId="5" borderId="0" xfId="0" applyFont="1" applyFill="1" applyBorder="1" applyAlignment="1">
      <alignment vertical="center"/>
    </xf>
    <xf numFmtId="49" fontId="0" fillId="5" borderId="0" xfId="0" applyFont="1" applyFill="1" applyBorder="1" applyAlignment="1">
      <alignment horizontal="center" vertical="center"/>
    </xf>
    <xf numFmtId="49" fontId="0" fillId="0" borderId="0" xfId="0" applyFont="1" applyAlignment="1" applyProtection="1">
      <alignment vertical="center"/>
    </xf>
    <xf numFmtId="49" fontId="32" fillId="7" borderId="0" xfId="0" applyNumberFormat="1" applyFont="1" applyFill="1" applyAlignment="1">
      <alignment horizontal="right"/>
    </xf>
    <xf numFmtId="49" fontId="5" fillId="10" borderId="4" xfId="45" applyNumberFormat="1" applyFont="1" applyFill="1" applyBorder="1" applyAlignment="1" applyProtection="1">
      <alignment horizontal="center" vertical="center" wrapText="1"/>
      <protection locked="0"/>
    </xf>
    <xf numFmtId="49" fontId="0" fillId="5" borderId="4" xfId="0" applyNumberFormat="1" applyFill="1" applyBorder="1" applyAlignment="1" applyProtection="1">
      <alignment horizontal="center" vertical="center" wrapText="1"/>
    </xf>
    <xf numFmtId="49" fontId="12" fillId="5" borderId="4" xfId="0" applyNumberFormat="1" applyFont="1" applyFill="1" applyBorder="1" applyAlignment="1" applyProtection="1">
      <alignment horizontal="center" vertical="center" wrapText="1"/>
    </xf>
    <xf numFmtId="2" fontId="28" fillId="5" borderId="4" xfId="25" applyNumberFormat="1" applyFont="1" applyFill="1" applyBorder="1" applyAlignment="1" applyProtection="1">
      <alignment vertical="center"/>
    </xf>
    <xf numFmtId="49" fontId="0" fillId="4" borderId="4" xfId="0" applyFill="1" applyBorder="1" applyAlignment="1" applyProtection="1">
      <alignment horizontal="center" vertical="center" wrapText="1"/>
    </xf>
    <xf numFmtId="49" fontId="5" fillId="5" borderId="4" xfId="0" applyFont="1" applyFill="1" applyBorder="1" applyAlignment="1" applyProtection="1">
      <alignment horizontal="center" vertical="center" wrapText="1"/>
    </xf>
    <xf numFmtId="0" fontId="5" fillId="11" borderId="4" xfId="47" applyFont="1" applyFill="1" applyBorder="1" applyAlignment="1" applyProtection="1">
      <alignment vertical="center" wrapText="1"/>
    </xf>
    <xf numFmtId="4" fontId="5" fillId="4" borderId="4" xfId="38" applyNumberFormat="1" applyFont="1" applyFill="1" applyBorder="1" applyAlignment="1" applyProtection="1">
      <alignment horizontal="right" vertical="center" wrapText="1"/>
    </xf>
    <xf numFmtId="4" fontId="5" fillId="3" borderId="4" xfId="38" applyNumberFormat="1" applyFont="1" applyFill="1" applyBorder="1" applyAlignment="1" applyProtection="1">
      <alignment horizontal="right" vertical="center" wrapText="1"/>
      <protection locked="0"/>
    </xf>
    <xf numFmtId="4" fontId="0" fillId="5" borderId="4" xfId="0" applyNumberFormat="1" applyFill="1" applyBorder="1" applyAlignment="1" applyProtection="1">
      <alignment horizontal="center" vertical="center" wrapText="1"/>
    </xf>
    <xf numFmtId="0" fontId="0" fillId="5" borderId="4" xfId="0" applyNumberFormat="1" applyFill="1" applyBorder="1" applyAlignment="1" applyProtection="1">
      <alignment horizontal="center" vertical="center" wrapText="1"/>
    </xf>
    <xf numFmtId="49" fontId="0" fillId="5" borderId="4" xfId="0" applyFill="1" applyBorder="1" applyAlignment="1" applyProtection="1">
      <alignment horizontal="center" vertical="center" wrapText="1"/>
    </xf>
    <xf numFmtId="49" fontId="29" fillId="5" borderId="4" xfId="47" applyNumberFormat="1" applyFont="1" applyFill="1" applyBorder="1" applyAlignment="1" applyProtection="1">
      <alignment horizontal="center" vertical="center" wrapText="1"/>
    </xf>
    <xf numFmtId="4" fontId="5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5" fillId="4" borderId="4" xfId="0" applyNumberFormat="1" applyFont="1" applyFill="1" applyBorder="1" applyAlignment="1" applyProtection="1">
      <alignment horizontal="right" vertical="center" wrapText="1"/>
    </xf>
    <xf numFmtId="0" fontId="5" fillId="5" borderId="4" xfId="43" applyFont="1" applyFill="1" applyBorder="1" applyAlignment="1" applyProtection="1">
      <alignment horizontal="center" vertical="center" wrapText="1"/>
    </xf>
    <xf numFmtId="0" fontId="5" fillId="3" borderId="4" xfId="44" applyFont="1" applyFill="1" applyBorder="1" applyAlignment="1" applyProtection="1">
      <alignment horizontal="center" vertical="center" wrapText="1"/>
      <protection locked="0"/>
    </xf>
    <xf numFmtId="49" fontId="0" fillId="0" borderId="0" xfId="0" applyFont="1" applyAlignment="1" applyProtection="1">
      <alignment vertical="center" wrapText="1"/>
    </xf>
    <xf numFmtId="49" fontId="0" fillId="0" borderId="0" xfId="0" applyFont="1" applyAlignment="1" applyProtection="1">
      <alignment horizontal="center" vertical="center" wrapText="1"/>
    </xf>
    <xf numFmtId="49" fontId="0" fillId="0" borderId="0" xfId="0" applyFont="1" applyAlignment="1" applyProtection="1">
      <alignment horizontal="left" vertical="center" wrapText="1"/>
    </xf>
    <xf numFmtId="49" fontId="0" fillId="0" borderId="0" xfId="0" applyFont="1" applyAlignment="1">
      <alignment vertical="center"/>
    </xf>
    <xf numFmtId="49" fontId="0" fillId="0" borderId="0" xfId="0" applyFont="1" applyBorder="1" applyAlignment="1" applyProtection="1">
      <alignment vertical="center" wrapText="1"/>
    </xf>
    <xf numFmtId="49" fontId="0" fillId="0" borderId="0" xfId="0" applyFont="1" applyBorder="1" applyAlignment="1" applyProtection="1">
      <alignment horizontal="center" vertical="center" wrapText="1"/>
    </xf>
    <xf numFmtId="49" fontId="0" fillId="0" borderId="0" xfId="0" applyFont="1" applyBorder="1" applyAlignment="1" applyProtection="1">
      <alignment horizontal="left" vertical="center" wrapText="1"/>
    </xf>
    <xf numFmtId="49" fontId="35" fillId="0" borderId="0" xfId="25" applyNumberFormat="1" applyFont="1" applyBorder="1" applyAlignment="1" applyProtection="1">
      <alignment horizontal="center" vertical="center"/>
    </xf>
    <xf numFmtId="0" fontId="11" fillId="0" borderId="0" xfId="38" applyFont="1" applyFill="1" applyAlignment="1" applyProtection="1">
      <alignment horizontal="center" wrapText="1"/>
    </xf>
    <xf numFmtId="0" fontId="5" fillId="5" borderId="0" xfId="38" applyFont="1" applyFill="1" applyBorder="1" applyAlignment="1" applyProtection="1">
      <alignment wrapText="1"/>
    </xf>
    <xf numFmtId="0" fontId="5" fillId="5" borderId="0" xfId="38" applyFont="1" applyFill="1" applyBorder="1" applyAlignment="1" applyProtection="1">
      <alignment horizontal="center" wrapText="1"/>
    </xf>
    <xf numFmtId="0" fontId="5" fillId="0" borderId="0" xfId="38" applyFont="1" applyFill="1" applyAlignment="1" applyProtection="1">
      <alignment wrapText="1"/>
    </xf>
    <xf numFmtId="49" fontId="0" fillId="5" borderId="0" xfId="0" applyFont="1" applyFill="1" applyBorder="1" applyAlignment="1" applyProtection="1">
      <alignment vertical="center" wrapText="1"/>
    </xf>
    <xf numFmtId="49" fontId="0" fillId="5" borderId="0" xfId="0" applyFont="1" applyFill="1" applyBorder="1" applyAlignment="1" applyProtection="1">
      <alignment horizontal="right" vertical="center" wrapText="1" indent="1"/>
    </xf>
    <xf numFmtId="49" fontId="0" fillId="5" borderId="0" xfId="0" applyFont="1" applyFill="1" applyBorder="1" applyAlignment="1" applyProtection="1">
      <alignment wrapText="1"/>
    </xf>
    <xf numFmtId="49" fontId="11" fillId="5" borderId="0" xfId="38" applyNumberFormat="1" applyFont="1" applyFill="1" applyBorder="1" applyAlignment="1" applyProtection="1">
      <alignment horizontal="center" wrapText="1"/>
    </xf>
    <xf numFmtId="49" fontId="0" fillId="0" borderId="0" xfId="0" applyFont="1" applyProtection="1">
      <alignment vertical="top"/>
    </xf>
    <xf numFmtId="0" fontId="5" fillId="0" borderId="0" xfId="38" applyFont="1" applyFill="1" applyAlignment="1" applyProtection="1">
      <alignment horizontal="center" wrapText="1"/>
    </xf>
    <xf numFmtId="49" fontId="37" fillId="5" borderId="0" xfId="25" applyNumberFormat="1" applyFont="1" applyFill="1" applyBorder="1" applyAlignment="1" applyProtection="1">
      <alignment horizontal="center" vertical="center" wrapText="1"/>
    </xf>
    <xf numFmtId="0" fontId="15" fillId="0" borderId="0" xfId="47" applyFont="1" applyAlignment="1" applyProtection="1">
      <alignment vertical="center" wrapText="1"/>
    </xf>
    <xf numFmtId="0" fontId="15" fillId="0" borderId="0" xfId="47" applyFont="1" applyBorder="1" applyAlignment="1" applyProtection="1">
      <alignment vertical="center" wrapText="1"/>
    </xf>
    <xf numFmtId="0" fontId="15" fillId="5" borderId="0" xfId="47" applyFont="1" applyFill="1" applyBorder="1" applyAlignment="1" applyProtection="1">
      <alignment vertical="center" wrapText="1"/>
    </xf>
    <xf numFmtId="0" fontId="24" fillId="0" borderId="0" xfId="47" applyNumberFormat="1" applyFont="1" applyFill="1" applyBorder="1" applyAlignment="1" applyProtection="1">
      <alignment vertical="center"/>
    </xf>
    <xf numFmtId="0" fontId="24" fillId="0" borderId="0" xfId="47" applyNumberFormat="1" applyFont="1" applyFill="1" applyBorder="1" applyAlignment="1" applyProtection="1">
      <alignment horizontal="center" vertical="center" wrapText="1"/>
    </xf>
    <xf numFmtId="0" fontId="15" fillId="5" borderId="0" xfId="47" applyFont="1" applyFill="1" applyBorder="1" applyAlignment="1" applyProtection="1">
      <alignment horizontal="center" vertical="center" wrapText="1"/>
    </xf>
    <xf numFmtId="0" fontId="15" fillId="5" borderId="0" xfId="47" applyFont="1" applyFill="1" applyBorder="1" applyAlignment="1" applyProtection="1">
      <alignment horizontal="right" vertical="center" wrapText="1"/>
    </xf>
    <xf numFmtId="49" fontId="15" fillId="0" borderId="0" xfId="47" applyNumberFormat="1" applyFont="1" applyBorder="1" applyAlignment="1" applyProtection="1">
      <alignment vertical="center" wrapText="1"/>
    </xf>
    <xf numFmtId="49" fontId="15" fillId="0" borderId="0" xfId="0" applyFont="1">
      <alignment vertical="top"/>
    </xf>
    <xf numFmtId="49" fontId="15" fillId="0" borderId="0" xfId="0" applyFont="1" applyBorder="1">
      <alignment vertical="top"/>
    </xf>
    <xf numFmtId="49" fontId="15" fillId="0" borderId="0" xfId="0" applyNumberFormat="1" applyFont="1" applyBorder="1">
      <alignment vertical="top"/>
    </xf>
    <xf numFmtId="49" fontId="15" fillId="0" borderId="0" xfId="0" applyFont="1" applyBorder="1" applyAlignment="1">
      <alignment horizontal="left" vertical="top" indent="7"/>
    </xf>
    <xf numFmtId="49" fontId="15" fillId="5" borderId="0" xfId="0" applyFont="1" applyFill="1" applyBorder="1" applyAlignment="1" applyProtection="1">
      <alignment horizontal="center" vertical="center" wrapText="1"/>
    </xf>
    <xf numFmtId="49" fontId="15" fillId="5" borderId="0" xfId="47" applyNumberFormat="1" applyFont="1" applyFill="1" applyBorder="1" applyAlignment="1" applyProtection="1">
      <alignment horizontal="center" vertical="center" wrapText="1"/>
    </xf>
    <xf numFmtId="0" fontId="15" fillId="5" borderId="0" xfId="0" applyNumberFormat="1" applyFont="1" applyFill="1" applyBorder="1" applyAlignment="1" applyProtection="1">
      <alignment horizontal="center" vertical="center"/>
    </xf>
    <xf numFmtId="49" fontId="15" fillId="5" borderId="0" xfId="0" applyFont="1" applyFill="1" applyBorder="1">
      <alignment vertical="top"/>
    </xf>
    <xf numFmtId="4" fontId="15" fillId="5" borderId="0" xfId="29" applyNumberFormat="1" applyFont="1" applyFill="1" applyBorder="1" applyAlignment="1" applyProtection="1">
      <alignment horizontal="center" vertical="center" wrapText="1"/>
    </xf>
    <xf numFmtId="0" fontId="33" fillId="5" borderId="0" xfId="25" applyNumberFormat="1" applyFont="1" applyFill="1" applyBorder="1" applyAlignment="1" applyProtection="1">
      <alignment horizontal="center" vertical="center"/>
    </xf>
    <xf numFmtId="0" fontId="24" fillId="5" borderId="0" xfId="47" applyNumberFormat="1" applyFont="1" applyFill="1" applyBorder="1" applyAlignment="1" applyProtection="1">
      <alignment vertical="center" wrapText="1"/>
    </xf>
    <xf numFmtId="49" fontId="31" fillId="0" borderId="0" xfId="25" applyNumberFormat="1" applyFont="1" applyFill="1" applyBorder="1" applyAlignment="1" applyProtection="1">
      <alignment horizontal="left" vertical="center" indent="1"/>
    </xf>
    <xf numFmtId="0" fontId="38" fillId="5" borderId="0" xfId="25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Border="1">
      <alignment vertical="top"/>
    </xf>
    <xf numFmtId="49" fontId="5" fillId="5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>
      <alignment vertical="top"/>
    </xf>
    <xf numFmtId="49" fontId="0" fillId="0" borderId="0" xfId="0" applyNumberFormat="1" applyFont="1" applyProtection="1">
      <alignment vertical="top"/>
    </xf>
    <xf numFmtId="49" fontId="18" fillId="5" borderId="0" xfId="0" applyFont="1" applyFill="1" applyBorder="1" applyAlignment="1" applyProtection="1">
      <alignment horizontal="center" vertical="center" wrapText="1"/>
    </xf>
    <xf numFmtId="4" fontId="0" fillId="0" borderId="0" xfId="0" applyNumberFormat="1" applyFont="1" applyBorder="1">
      <alignment vertical="top"/>
    </xf>
    <xf numFmtId="49" fontId="0" fillId="0" borderId="4" xfId="0" applyFont="1" applyBorder="1">
      <alignment vertical="top"/>
    </xf>
    <xf numFmtId="49" fontId="0" fillId="0" borderId="4" xfId="0" applyNumberFormat="1" applyFont="1" applyBorder="1">
      <alignment vertical="top"/>
    </xf>
    <xf numFmtId="49" fontId="0" fillId="5" borderId="4" xfId="0" applyFont="1" applyFill="1" applyBorder="1" applyAlignment="1" applyProtection="1">
      <alignment horizontal="center" vertical="center" wrapText="1"/>
    </xf>
    <xf numFmtId="4" fontId="0" fillId="4" borderId="4" xfId="0" applyNumberFormat="1" applyFont="1" applyFill="1" applyBorder="1" applyAlignment="1" applyProtection="1">
      <alignment horizontal="center" vertical="center" wrapText="1"/>
    </xf>
    <xf numFmtId="4" fontId="0" fillId="0" borderId="4" xfId="0" applyNumberFormat="1" applyFont="1" applyBorder="1">
      <alignment vertical="top"/>
    </xf>
    <xf numFmtId="4" fontId="11" fillId="5" borderId="4" xfId="0" applyNumberFormat="1" applyFont="1" applyFill="1" applyBorder="1" applyAlignment="1" applyProtection="1">
      <alignment horizontal="center" vertical="center"/>
    </xf>
    <xf numFmtId="4" fontId="5" fillId="4" borderId="4" xfId="29" applyNumberFormat="1" applyFont="1" applyFill="1" applyBorder="1" applyAlignment="1" applyProtection="1">
      <alignment horizontal="center" vertical="center" wrapText="1"/>
    </xf>
    <xf numFmtId="4" fontId="5" fillId="11" borderId="4" xfId="47" applyNumberFormat="1" applyFont="1" applyFill="1" applyBorder="1" applyAlignment="1" applyProtection="1">
      <alignment vertical="center" wrapText="1"/>
    </xf>
    <xf numFmtId="49" fontId="0" fillId="0" borderId="5" xfId="0" applyFont="1" applyBorder="1">
      <alignment vertical="top"/>
    </xf>
    <xf numFmtId="49" fontId="39" fillId="5" borderId="4" xfId="34" applyNumberFormat="1" applyFont="1" applyFill="1" applyBorder="1" applyAlignment="1" applyProtection="1">
      <alignment horizontal="center" vertical="center" wrapText="1"/>
    </xf>
    <xf numFmtId="0" fontId="5" fillId="5" borderId="4" xfId="38" applyFont="1" applyFill="1" applyBorder="1" applyAlignment="1" applyProtection="1">
      <alignment horizontal="center" wrapText="1"/>
    </xf>
    <xf numFmtId="49" fontId="11" fillId="5" borderId="6" xfId="0" applyFont="1" applyFill="1" applyBorder="1" applyAlignment="1" applyProtection="1">
      <alignment horizontal="center" vertical="center" wrapText="1"/>
    </xf>
    <xf numFmtId="49" fontId="0" fillId="5" borderId="5" xfId="0" applyFont="1" applyFill="1" applyBorder="1" applyAlignment="1" applyProtection="1">
      <alignment horizontal="center" vertical="center" wrapText="1"/>
    </xf>
    <xf numFmtId="4" fontId="5" fillId="4" borderId="7" xfId="38" applyNumberFormat="1" applyFont="1" applyFill="1" applyBorder="1" applyAlignment="1" applyProtection="1">
      <alignment horizontal="right" vertical="center" wrapText="1"/>
    </xf>
    <xf numFmtId="0" fontId="5" fillId="11" borderId="7" xfId="47" applyFont="1" applyFill="1" applyBorder="1" applyAlignment="1" applyProtection="1">
      <alignment vertical="center" wrapText="1"/>
    </xf>
    <xf numFmtId="49" fontId="0" fillId="5" borderId="5" xfId="0" applyFont="1" applyFill="1" applyBorder="1" applyAlignment="1" applyProtection="1">
      <alignment vertical="top" wrapText="1"/>
    </xf>
    <xf numFmtId="49" fontId="0" fillId="5" borderId="5" xfId="0" applyNumberFormat="1" applyFont="1" applyFill="1" applyBorder="1" applyAlignment="1" applyProtection="1">
      <alignment horizontal="center" vertical="center" wrapText="1"/>
    </xf>
    <xf numFmtId="0" fontId="5" fillId="5" borderId="5" xfId="38" applyFont="1" applyFill="1" applyBorder="1" applyAlignment="1" applyProtection="1">
      <alignment wrapText="1"/>
    </xf>
    <xf numFmtId="0" fontId="5" fillId="5" borderId="8" xfId="38" applyFont="1" applyFill="1" applyBorder="1" applyAlignment="1" applyProtection="1">
      <alignment wrapText="1"/>
    </xf>
    <xf numFmtId="0" fontId="29" fillId="5" borderId="4" xfId="0" applyNumberFormat="1" applyFont="1" applyFill="1" applyBorder="1" applyAlignment="1" applyProtection="1">
      <alignment horizontal="left" vertical="center"/>
    </xf>
    <xf numFmtId="0" fontId="0" fillId="12" borderId="4" xfId="0" applyNumberFormat="1" applyFill="1" applyBorder="1" applyAlignment="1" applyProtection="1">
      <alignment horizontal="left" vertical="center"/>
    </xf>
    <xf numFmtId="49" fontId="0" fillId="12" borderId="4" xfId="0" applyNumberFormat="1" applyFill="1" applyBorder="1" applyAlignment="1" applyProtection="1">
      <alignment horizontal="left" vertical="center"/>
    </xf>
    <xf numFmtId="0" fontId="0" fillId="12" borderId="4" xfId="0" applyNumberFormat="1" applyFill="1" applyBorder="1" applyAlignment="1" applyProtection="1">
      <alignment vertical="center"/>
    </xf>
    <xf numFmtId="0" fontId="11" fillId="0" borderId="0" xfId="38" applyNumberFormat="1" applyFont="1" applyFill="1" applyAlignment="1" applyProtection="1">
      <alignment vertical="center" wrapText="1"/>
    </xf>
    <xf numFmtId="0" fontId="40" fillId="0" borderId="0" xfId="47" applyFont="1" applyBorder="1" applyAlignment="1" applyProtection="1">
      <alignment vertical="center" wrapText="1"/>
    </xf>
    <xf numFmtId="49" fontId="40" fillId="0" borderId="0" xfId="0" applyFont="1" applyBorder="1">
      <alignment vertical="top"/>
    </xf>
    <xf numFmtId="49" fontId="40" fillId="7" borderId="0" xfId="0" applyNumberFormat="1" applyFont="1" applyFill="1" applyAlignment="1">
      <alignment horizontal="right" vertical="center"/>
    </xf>
    <xf numFmtId="49" fontId="0" fillId="11" borderId="0" xfId="0" applyNumberFormat="1" applyFill="1" applyAlignment="1" applyProtection="1">
      <alignment horizontal="right" vertical="center" wrapText="1"/>
    </xf>
    <xf numFmtId="49" fontId="0" fillId="5" borderId="0" xfId="0" applyFill="1" applyBorder="1" applyAlignment="1">
      <alignment vertical="center"/>
    </xf>
    <xf numFmtId="0" fontId="12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0" xfId="0" applyFont="1" applyFill="1" applyAlignment="1" applyProtection="1">
      <alignment vertical="center" wrapText="1"/>
    </xf>
    <xf numFmtId="49" fontId="5" fillId="5" borderId="0" xfId="0" applyFont="1" applyFill="1" applyBorder="1" applyAlignment="1" applyProtection="1">
      <alignment vertical="center" wrapText="1"/>
    </xf>
    <xf numFmtId="49" fontId="30" fillId="5" borderId="0" xfId="38" applyNumberFormat="1" applyFont="1" applyFill="1" applyBorder="1" applyAlignment="1" applyProtection="1">
      <alignment horizontal="center" vertical="center" wrapText="1"/>
    </xf>
    <xf numFmtId="49" fontId="11" fillId="5" borderId="0" xfId="38" applyNumberFormat="1" applyFont="1" applyFill="1" applyBorder="1" applyAlignment="1" applyProtection="1">
      <alignment horizontal="center" vertical="center" wrapText="1"/>
    </xf>
    <xf numFmtId="0" fontId="12" fillId="5" borderId="0" xfId="38" applyFont="1" applyFill="1" applyBorder="1" applyAlignment="1" applyProtection="1">
      <alignment horizontal="center" vertical="center" wrapText="1"/>
    </xf>
    <xf numFmtId="0" fontId="14" fillId="5" borderId="0" xfId="38" applyFont="1" applyFill="1" applyBorder="1" applyAlignment="1" applyProtection="1">
      <alignment vertical="center" wrapText="1"/>
    </xf>
    <xf numFmtId="0" fontId="14" fillId="5" borderId="0" xfId="38" applyFont="1" applyFill="1" applyBorder="1" applyAlignment="1" applyProtection="1">
      <alignment horizontal="center" vertical="center" wrapText="1"/>
    </xf>
    <xf numFmtId="0" fontId="0" fillId="4" borderId="4" xfId="41" applyFont="1" applyFill="1" applyBorder="1" applyAlignment="1" applyProtection="1">
      <alignment horizontal="center" vertical="center" wrapText="1"/>
    </xf>
    <xf numFmtId="49" fontId="11" fillId="6" borderId="0" xfId="0" applyNumberFormat="1" applyFont="1" applyFill="1" applyAlignment="1">
      <alignment horizontal="center" vertical="top"/>
    </xf>
    <xf numFmtId="49" fontId="0" fillId="7" borderId="0" xfId="0" applyNumberFormat="1" applyFill="1" applyAlignment="1">
      <alignment horizontal="right"/>
    </xf>
    <xf numFmtId="0" fontId="41" fillId="5" borderId="0" xfId="47" applyFont="1" applyFill="1" applyBorder="1" applyAlignment="1" applyProtection="1">
      <alignment vertical="center" wrapText="1"/>
    </xf>
    <xf numFmtId="4" fontId="41" fillId="5" borderId="0" xfId="29" applyNumberFormat="1" applyFont="1" applyFill="1" applyBorder="1" applyAlignment="1" applyProtection="1">
      <alignment horizontal="center" vertical="center" wrapText="1"/>
    </xf>
    <xf numFmtId="4" fontId="41" fillId="5" borderId="0" xfId="0" applyNumberFormat="1" applyFont="1" applyFill="1" applyBorder="1" applyAlignment="1" applyProtection="1">
      <alignment horizontal="center" vertical="center" wrapText="1"/>
    </xf>
    <xf numFmtId="49" fontId="41" fillId="5" borderId="0" xfId="0" applyNumberFormat="1" applyFont="1" applyFill="1" applyBorder="1" applyAlignment="1" applyProtection="1">
      <alignment horizontal="center" vertical="center" wrapText="1"/>
    </xf>
    <xf numFmtId="4" fontId="41" fillId="0" borderId="0" xfId="47" applyNumberFormat="1" applyFont="1" applyFill="1" applyBorder="1" applyAlignment="1" applyProtection="1">
      <alignment horizontal="left" vertical="center" wrapText="1"/>
    </xf>
    <xf numFmtId="49" fontId="41" fillId="0" borderId="0" xfId="0" applyFont="1" applyBorder="1">
      <alignment vertical="top"/>
    </xf>
    <xf numFmtId="4" fontId="5" fillId="12" borderId="4" xfId="38" applyNumberFormat="1" applyFont="1" applyFill="1" applyBorder="1" applyAlignment="1" applyProtection="1">
      <alignment horizontal="right" vertical="center" wrapText="1"/>
    </xf>
    <xf numFmtId="49" fontId="39" fillId="5" borderId="9" xfId="34" applyNumberFormat="1" applyFont="1" applyFill="1" applyBorder="1" applyAlignment="1" applyProtection="1">
      <alignment horizontal="center" vertical="center" wrapText="1"/>
    </xf>
    <xf numFmtId="49" fontId="0" fillId="0" borderId="6" xfId="0" applyFont="1" applyBorder="1">
      <alignment vertical="top"/>
    </xf>
    <xf numFmtId="0" fontId="41" fillId="5" borderId="0" xfId="47" applyFont="1" applyFill="1" applyBorder="1" applyAlignment="1" applyProtection="1">
      <alignment horizontal="left" vertical="center" wrapText="1"/>
    </xf>
    <xf numFmtId="49" fontId="42" fillId="5" borderId="0" xfId="0" applyFont="1" applyFill="1" applyBorder="1" applyAlignment="1" applyProtection="1">
      <alignment horizontal="center" vertical="center" wrapText="1"/>
    </xf>
    <xf numFmtId="0" fontId="42" fillId="5" borderId="0" xfId="0" applyNumberFormat="1" applyFont="1" applyFill="1" applyBorder="1" applyAlignment="1" applyProtection="1">
      <alignment horizontal="center" vertical="center" wrapText="1"/>
    </xf>
    <xf numFmtId="0" fontId="41" fillId="5" borderId="0" xfId="0" applyNumberFormat="1" applyFont="1" applyFill="1" applyBorder="1" applyAlignment="1" applyProtection="1">
      <alignment horizontal="center" vertical="center" wrapText="1"/>
    </xf>
    <xf numFmtId="4" fontId="41" fillId="0" borderId="0" xfId="43" applyNumberFormat="1" applyFont="1" applyFill="1" applyBorder="1" applyAlignment="1" applyProtection="1">
      <alignment horizontal="left" vertical="center" wrapText="1"/>
    </xf>
    <xf numFmtId="4" fontId="41" fillId="0" borderId="0" xfId="0" applyNumberFormat="1" applyFont="1" applyFill="1" applyBorder="1" applyAlignment="1" applyProtection="1">
      <alignment horizontal="left" vertical="center" wrapText="1"/>
    </xf>
    <xf numFmtId="4" fontId="41" fillId="5" borderId="0" xfId="29" applyNumberFormat="1" applyFont="1" applyFill="1" applyBorder="1" applyAlignment="1" applyProtection="1">
      <alignment horizontal="left" vertical="center" wrapText="1"/>
    </xf>
    <xf numFmtId="0" fontId="0" fillId="5" borderId="8" xfId="0" applyNumberFormat="1" applyFont="1" applyFill="1" applyBorder="1" applyAlignment="1" applyProtection="1">
      <alignment horizontal="center" vertical="center" wrapText="1"/>
    </xf>
    <xf numFmtId="4" fontId="0" fillId="0" borderId="8" xfId="0" applyNumberFormat="1" applyFont="1" applyBorder="1">
      <alignment vertical="top"/>
    </xf>
    <xf numFmtId="4" fontId="41" fillId="0" borderId="0" xfId="0" applyNumberFormat="1" applyFont="1" applyFill="1" applyBorder="1" applyAlignment="1" applyProtection="1">
      <alignment horizontal="center" vertical="center" wrapText="1"/>
    </xf>
    <xf numFmtId="4" fontId="5" fillId="4" borderId="6" xfId="38" applyNumberFormat="1" applyFont="1" applyFill="1" applyBorder="1" applyAlignment="1" applyProtection="1">
      <alignment horizontal="right" vertical="center" wrapText="1"/>
    </xf>
    <xf numFmtId="4" fontId="0" fillId="5" borderId="8" xfId="0" applyNumberFormat="1" applyFill="1" applyBorder="1" applyAlignment="1" applyProtection="1">
      <alignment horizontal="center" vertical="center" wrapText="1"/>
    </xf>
    <xf numFmtId="49" fontId="41" fillId="0" borderId="0" xfId="0" applyFont="1" applyFill="1" applyBorder="1" applyProtection="1">
      <alignment vertical="top"/>
    </xf>
    <xf numFmtId="0" fontId="41" fillId="0" borderId="0" xfId="47" applyFont="1" applyBorder="1" applyAlignment="1" applyProtection="1">
      <alignment vertical="center" wrapText="1"/>
    </xf>
    <xf numFmtId="49" fontId="41" fillId="0" borderId="0" xfId="0" applyFont="1">
      <alignment vertical="top"/>
    </xf>
    <xf numFmtId="4" fontId="30" fillId="5" borderId="0" xfId="38" applyNumberFormat="1" applyFont="1" applyFill="1" applyBorder="1" applyAlignment="1" applyProtection="1">
      <alignment horizontal="center" vertical="center" wrapText="1"/>
    </xf>
    <xf numFmtId="49" fontId="31" fillId="0" borderId="0" xfId="25" applyNumberFormat="1" applyFont="1" applyFill="1" applyBorder="1" applyAlignment="1" applyProtection="1">
      <alignment horizontal="center" vertical="center"/>
    </xf>
    <xf numFmtId="49" fontId="0" fillId="5" borderId="5" xfId="0" applyFont="1" applyFill="1" applyBorder="1" applyAlignment="1" applyProtection="1">
      <alignment vertical="top" textRotation="90" wrapText="1"/>
    </xf>
    <xf numFmtId="0" fontId="18" fillId="5" borderId="5" xfId="47" applyNumberFormat="1" applyFont="1" applyFill="1" applyBorder="1" applyAlignment="1" applyProtection="1">
      <alignment vertical="center" wrapText="1"/>
    </xf>
    <xf numFmtId="0" fontId="24" fillId="5" borderId="5" xfId="47" applyNumberFormat="1" applyFont="1" applyFill="1" applyBorder="1" applyAlignment="1" applyProtection="1">
      <alignment vertical="center" wrapText="1"/>
    </xf>
    <xf numFmtId="0" fontId="18" fillId="5" borderId="5" xfId="47" applyNumberFormat="1" applyFont="1" applyFill="1" applyBorder="1" applyAlignment="1" applyProtection="1">
      <alignment vertical="center"/>
    </xf>
    <xf numFmtId="49" fontId="36" fillId="0" borderId="8" xfId="0" applyFont="1" applyFill="1" applyBorder="1" applyAlignment="1" applyProtection="1">
      <alignment horizontal="center" vertical="center" wrapText="1"/>
    </xf>
    <xf numFmtId="49" fontId="36" fillId="0" borderId="6" xfId="0" applyFont="1" applyFill="1" applyBorder="1" applyAlignment="1" applyProtection="1">
      <alignment horizontal="center" vertical="center" wrapText="1"/>
    </xf>
    <xf numFmtId="0" fontId="44" fillId="0" borderId="0" xfId="47" applyFont="1" applyAlignment="1" applyProtection="1">
      <alignment vertical="center" wrapText="1"/>
    </xf>
    <xf numFmtId="0" fontId="44" fillId="5" borderId="0" xfId="47" applyFont="1" applyFill="1" applyBorder="1" applyAlignment="1" applyProtection="1">
      <alignment vertical="center" wrapText="1"/>
    </xf>
    <xf numFmtId="49" fontId="44" fillId="5" borderId="0" xfId="47" applyNumberFormat="1" applyFont="1" applyFill="1" applyBorder="1" applyAlignment="1" applyProtection="1">
      <alignment vertical="center" wrapText="1"/>
    </xf>
    <xf numFmtId="0" fontId="44" fillId="5" borderId="0" xfId="47" applyNumberFormat="1" applyFont="1" applyFill="1" applyBorder="1" applyAlignment="1" applyProtection="1">
      <alignment vertical="center" wrapText="1"/>
    </xf>
    <xf numFmtId="49" fontId="45" fillId="0" borderId="0" xfId="0" applyFont="1" applyBorder="1">
      <alignment vertical="top"/>
    </xf>
    <xf numFmtId="0" fontId="44" fillId="5" borderId="0" xfId="47" applyNumberFormat="1" applyFont="1" applyFill="1" applyBorder="1" applyAlignment="1" applyProtection="1">
      <alignment horizontal="left" vertical="center" wrapText="1" indent="3"/>
    </xf>
    <xf numFmtId="0" fontId="44" fillId="0" borderId="0" xfId="47" applyFont="1" applyBorder="1" applyAlignment="1" applyProtection="1">
      <alignment vertical="center" wrapText="1"/>
    </xf>
    <xf numFmtId="0" fontId="44" fillId="0" borderId="0" xfId="47" applyNumberFormat="1" applyFont="1" applyFill="1" applyBorder="1" applyAlignment="1" applyProtection="1">
      <alignment vertical="center" wrapText="1"/>
    </xf>
    <xf numFmtId="49" fontId="44" fillId="0" borderId="0" xfId="0" applyFont="1" applyBorder="1">
      <alignment vertical="top"/>
    </xf>
    <xf numFmtId="0" fontId="44" fillId="0" borderId="0" xfId="47" applyNumberFormat="1" applyFont="1" applyFill="1" applyBorder="1" applyAlignment="1" applyProtection="1">
      <alignment horizontal="left" vertical="center" wrapText="1" indent="3"/>
    </xf>
    <xf numFmtId="49" fontId="45" fillId="0" borderId="0" xfId="0" applyFont="1">
      <alignment vertical="top"/>
    </xf>
    <xf numFmtId="49" fontId="45" fillId="0" borderId="0" xfId="0" applyNumberFormat="1" applyFont="1" applyBorder="1">
      <alignment vertical="top"/>
    </xf>
    <xf numFmtId="49" fontId="46" fillId="0" borderId="0" xfId="0" applyFont="1" applyBorder="1">
      <alignment vertical="top"/>
    </xf>
    <xf numFmtId="49" fontId="46" fillId="0" borderId="0" xfId="0" applyFont="1">
      <alignment vertical="top"/>
    </xf>
    <xf numFmtId="49" fontId="44" fillId="0" borderId="0" xfId="0" applyFont="1">
      <alignment vertical="top"/>
    </xf>
    <xf numFmtId="49" fontId="5" fillId="0" borderId="0" xfId="32" applyNumberFormat="1" applyFont="1" applyProtection="1">
      <alignment vertical="top"/>
    </xf>
    <xf numFmtId="0" fontId="18" fillId="0" borderId="8" xfId="42" applyFont="1" applyFill="1" applyBorder="1" applyAlignment="1" applyProtection="1">
      <alignment horizontal="right" vertical="center" wrapText="1" indent="2"/>
    </xf>
    <xf numFmtId="0" fontId="18" fillId="0" borderId="4" xfId="42" applyFont="1" applyFill="1" applyBorder="1" applyAlignment="1" applyProtection="1">
      <alignment horizontal="center" vertical="center" wrapText="1"/>
    </xf>
    <xf numFmtId="0" fontId="18" fillId="0" borderId="6" xfId="42" applyFont="1" applyFill="1" applyBorder="1" applyAlignment="1" applyProtection="1">
      <alignment horizontal="left" vertical="center" wrapText="1" indent="2"/>
    </xf>
    <xf numFmtId="0" fontId="18" fillId="0" borderId="0" xfId="30" applyNumberFormat="1" applyFont="1" applyAlignment="1" applyProtection="1">
      <alignment vertical="top" wrapText="1"/>
    </xf>
    <xf numFmtId="0" fontId="37" fillId="13" borderId="5" xfId="27" applyFont="1" applyFill="1" applyBorder="1" applyAlignment="1" applyProtection="1">
      <alignment horizontal="left" vertical="center" indent="1"/>
    </xf>
    <xf numFmtId="0" fontId="31" fillId="13" borderId="5" xfId="27" applyFont="1" applyFill="1" applyBorder="1" applyAlignment="1" applyProtection="1">
      <alignment horizontal="left" vertical="center" indent="1"/>
    </xf>
    <xf numFmtId="0" fontId="37" fillId="13" borderId="6" xfId="27" applyFont="1" applyFill="1" applyBorder="1" applyAlignment="1" applyProtection="1">
      <alignment horizontal="left" vertical="center" indent="1"/>
    </xf>
    <xf numFmtId="0" fontId="37" fillId="13" borderId="8" xfId="27" applyFont="1" applyFill="1" applyBorder="1" applyAlignment="1" applyProtection="1">
      <alignment horizontal="left" vertical="center" indent="1"/>
    </xf>
    <xf numFmtId="0" fontId="31" fillId="13" borderId="6" xfId="27" applyFont="1" applyFill="1" applyBorder="1" applyAlignment="1" applyProtection="1">
      <alignment horizontal="left" vertical="center" indent="1"/>
    </xf>
    <xf numFmtId="0" fontId="31" fillId="13" borderId="8" xfId="27" applyFont="1" applyFill="1" applyBorder="1" applyAlignment="1" applyProtection="1">
      <alignment horizontal="left" vertical="center" indent="1"/>
    </xf>
    <xf numFmtId="49" fontId="5" fillId="0" borderId="0" xfId="35" applyNumberFormat="1" applyFont="1" applyAlignment="1" applyProtection="1">
      <alignment vertical="top" wrapText="1"/>
    </xf>
    <xf numFmtId="49" fontId="5" fillId="9" borderId="0" xfId="35" applyNumberFormat="1" applyFont="1" applyFill="1" applyAlignment="1" applyProtection="1">
      <alignment vertical="top" wrapText="1"/>
    </xf>
    <xf numFmtId="49" fontId="0" fillId="7" borderId="0" xfId="35" applyNumberFormat="1" applyFont="1" applyFill="1" applyAlignment="1" applyProtection="1">
      <alignment vertical="top" wrapText="1"/>
    </xf>
    <xf numFmtId="49" fontId="5" fillId="7" borderId="0" xfId="35" applyNumberFormat="1" applyFont="1" applyFill="1" applyAlignment="1" applyProtection="1">
      <alignment vertical="top" wrapText="1"/>
    </xf>
    <xf numFmtId="49" fontId="5" fillId="0" borderId="0" xfId="40" applyNumberFormat="1" applyFont="1" applyAlignment="1" applyProtection="1">
      <alignment vertical="center"/>
    </xf>
    <xf numFmtId="49" fontId="5" fillId="0" borderId="0" xfId="40" applyNumberFormat="1" applyFont="1" applyAlignment="1" applyProtection="1">
      <alignment horizontal="center"/>
    </xf>
    <xf numFmtId="49" fontId="0" fillId="5" borderId="4" xfId="0" applyNumberFormat="1" applyFont="1" applyFill="1" applyBorder="1" applyAlignment="1" applyProtection="1">
      <alignment horizontal="center" vertical="center" wrapText="1"/>
    </xf>
    <xf numFmtId="49" fontId="0" fillId="12" borderId="0" xfId="40" applyNumberFormat="1" applyFont="1" applyFill="1" applyProtection="1"/>
    <xf numFmtId="49" fontId="49" fillId="0" borderId="0" xfId="0" applyFont="1" applyBorder="1">
      <alignment vertical="top"/>
    </xf>
    <xf numFmtId="0" fontId="49" fillId="5" borderId="0" xfId="25" applyNumberFormat="1" applyFont="1" applyFill="1" applyBorder="1" applyAlignment="1" applyProtection="1">
      <alignment horizontal="center" vertical="center"/>
    </xf>
    <xf numFmtId="0" fontId="49" fillId="0" borderId="0" xfId="47" applyNumberFormat="1" applyFont="1" applyFill="1" applyBorder="1" applyAlignment="1" applyProtection="1">
      <alignment vertical="center" wrapText="1"/>
    </xf>
    <xf numFmtId="49" fontId="52" fillId="0" borderId="0" xfId="25" applyNumberFormat="1" applyFont="1" applyBorder="1" applyAlignment="1" applyProtection="1">
      <alignment horizontal="center" vertical="center"/>
    </xf>
    <xf numFmtId="49" fontId="5" fillId="0" borderId="10" xfId="35" applyFont="1" applyFill="1" applyBorder="1" applyAlignment="1" applyProtection="1">
      <alignment horizontal="center" vertical="center" wrapText="1"/>
    </xf>
    <xf numFmtId="49" fontId="0" fillId="0" borderId="11" xfId="0" applyFont="1" applyBorder="1" applyAlignment="1" applyProtection="1">
      <alignment horizontal="left" vertical="center" wrapText="1"/>
    </xf>
    <xf numFmtId="49" fontId="0" fillId="0" borderId="11" xfId="0" applyFont="1" applyBorder="1" applyAlignment="1" applyProtection="1">
      <alignment horizontal="center" vertical="center" wrapText="1"/>
    </xf>
    <xf numFmtId="0" fontId="55" fillId="0" borderId="0" xfId="47" applyNumberFormat="1" applyFont="1" applyFill="1" applyBorder="1" applyAlignment="1" applyProtection="1">
      <alignment vertical="center"/>
    </xf>
    <xf numFmtId="0" fontId="54" fillId="14" borderId="4" xfId="27" applyFont="1" applyFill="1" applyBorder="1" applyAlignment="1" applyProtection="1">
      <alignment horizontal="center" vertical="center"/>
    </xf>
    <xf numFmtId="0" fontId="49" fillId="5" borderId="0" xfId="47" applyNumberFormat="1" applyFont="1" applyFill="1" applyBorder="1" applyAlignment="1" applyProtection="1">
      <alignment vertical="center" wrapText="1"/>
    </xf>
    <xf numFmtId="0" fontId="5" fillId="3" borderId="9" xfId="44" applyFont="1" applyFill="1" applyBorder="1" applyAlignment="1" applyProtection="1">
      <alignment horizontal="center" vertical="center" wrapText="1"/>
      <protection locked="0"/>
    </xf>
    <xf numFmtId="0" fontId="0" fillId="5" borderId="4" xfId="33" applyFont="1" applyFill="1" applyBorder="1" applyAlignment="1" applyProtection="1">
      <alignment horizontal="center" vertical="center" wrapText="1"/>
    </xf>
    <xf numFmtId="0" fontId="5" fillId="4" borderId="9" xfId="44" applyFont="1" applyFill="1" applyBorder="1" applyAlignment="1" applyProtection="1">
      <alignment horizontal="center" vertical="center" wrapText="1"/>
    </xf>
    <xf numFmtId="49" fontId="42" fillId="0" borderId="0" xfId="0" applyFont="1" applyFill="1" applyBorder="1" applyAlignment="1" applyProtection="1">
      <alignment horizontal="center" vertical="center" wrapText="1"/>
    </xf>
    <xf numFmtId="0" fontId="5" fillId="0" borderId="4" xfId="47" applyFont="1" applyBorder="1" applyAlignment="1" applyProtection="1">
      <alignment horizontal="center" vertical="center" wrapText="1"/>
    </xf>
    <xf numFmtId="49" fontId="0" fillId="0" borderId="8" xfId="0" applyFont="1" applyBorder="1">
      <alignment vertical="top"/>
    </xf>
    <xf numFmtId="0" fontId="0" fillId="11" borderId="4" xfId="0" applyNumberFormat="1" applyFont="1" applyFill="1" applyBorder="1" applyAlignment="1" applyProtection="1">
      <alignment horizontal="center" vertical="center" wrapText="1"/>
    </xf>
    <xf numFmtId="49" fontId="0" fillId="0" borderId="0" xfId="32" applyNumberFormat="1" applyFont="1" applyProtection="1">
      <alignment vertical="top"/>
    </xf>
    <xf numFmtId="49" fontId="56" fillId="0" borderId="0" xfId="0" applyFont="1" applyFill="1" applyAlignment="1" applyProtection="1">
      <alignment wrapText="1"/>
    </xf>
    <xf numFmtId="49" fontId="56" fillId="0" borderId="0" xfId="0" applyFont="1" applyFill="1" applyAlignment="1" applyProtection="1">
      <alignment vertical="center" wrapText="1"/>
    </xf>
    <xf numFmtId="49" fontId="57" fillId="0" borderId="0" xfId="0" applyFont="1" applyFill="1" applyAlignment="1" applyProtection="1">
      <alignment wrapText="1"/>
    </xf>
    <xf numFmtId="0" fontId="58" fillId="0" borderId="0" xfId="0" applyNumberFormat="1" applyFont="1" applyFill="1" applyAlignment="1" applyProtection="1">
      <alignment horizontal="left" vertical="center" wrapText="1"/>
    </xf>
    <xf numFmtId="49" fontId="59" fillId="0" borderId="0" xfId="0" applyFont="1" applyFill="1" applyBorder="1" applyAlignment="1" applyProtection="1">
      <alignment wrapText="1"/>
    </xf>
    <xf numFmtId="0" fontId="18" fillId="0" borderId="0" xfId="0" applyNumberFormat="1" applyFont="1" applyFill="1" applyAlignment="1" applyProtection="1">
      <alignment vertical="top"/>
    </xf>
    <xf numFmtId="0" fontId="18" fillId="0" borderId="0" xfId="0" applyNumberFormat="1" applyFont="1" applyFill="1" applyAlignment="1" applyProtection="1">
      <alignment horizontal="left" vertical="top" wrapText="1"/>
    </xf>
    <xf numFmtId="49" fontId="5" fillId="0" borderId="0" xfId="0" applyFont="1" applyFill="1" applyAlignment="1" applyProtection="1">
      <alignment vertical="top" wrapText="1"/>
    </xf>
    <xf numFmtId="49" fontId="56" fillId="0" borderId="0" xfId="0" applyFont="1" applyFill="1" applyBorder="1" applyAlignment="1" applyProtection="1">
      <alignment wrapText="1"/>
    </xf>
    <xf numFmtId="49" fontId="60" fillId="0" borderId="0" xfId="0" applyFont="1" applyFill="1" applyBorder="1" applyAlignment="1" applyProtection="1">
      <alignment wrapText="1"/>
    </xf>
    <xf numFmtId="49" fontId="60" fillId="0" borderId="12" xfId="0" applyFont="1" applyFill="1" applyBorder="1" applyAlignment="1" applyProtection="1">
      <alignment wrapText="1"/>
    </xf>
    <xf numFmtId="49" fontId="61" fillId="0" borderId="0" xfId="0" applyFont="1" applyFill="1" applyBorder="1" applyAlignment="1" applyProtection="1">
      <alignment vertical="center" wrapText="1"/>
    </xf>
    <xf numFmtId="49" fontId="62" fillId="0" borderId="0" xfId="0" applyFont="1" applyFill="1" applyBorder="1" applyAlignment="1" applyProtection="1">
      <alignment horizontal="left" vertical="center" wrapText="1"/>
    </xf>
    <xf numFmtId="49" fontId="61" fillId="0" borderId="0" xfId="0" applyFont="1" applyFill="1" applyBorder="1" applyAlignment="1" applyProtection="1">
      <alignment horizontal="center" vertical="center" wrapText="1"/>
    </xf>
    <xf numFmtId="49" fontId="19" fillId="3" borderId="13" xfId="0" applyNumberFormat="1" applyFont="1" applyFill="1" applyBorder="1" applyAlignment="1" applyProtection="1">
      <alignment horizontal="center" vertical="center" wrapText="1"/>
    </xf>
    <xf numFmtId="49" fontId="19" fillId="12" borderId="13" xfId="0" applyNumberFormat="1" applyFont="1" applyFill="1" applyBorder="1" applyAlignment="1" applyProtection="1">
      <alignment horizontal="center" vertical="center" wrapText="1"/>
    </xf>
    <xf numFmtId="49" fontId="19" fillId="4" borderId="13" xfId="0" applyNumberFormat="1" applyFont="1" applyFill="1" applyBorder="1" applyAlignment="1" applyProtection="1">
      <alignment horizontal="center" vertical="center" wrapText="1"/>
    </xf>
    <xf numFmtId="49" fontId="19" fillId="10" borderId="13" xfId="0" applyNumberFormat="1" applyFont="1" applyFill="1" applyBorder="1" applyAlignment="1" applyProtection="1">
      <alignment horizontal="center" vertical="center" wrapText="1"/>
    </xf>
    <xf numFmtId="49" fontId="18" fillId="0" borderId="0" xfId="0" applyFont="1" applyFill="1" applyBorder="1" applyAlignment="1" applyProtection="1">
      <alignment vertical="top" wrapText="1"/>
    </xf>
    <xf numFmtId="49" fontId="64" fillId="0" borderId="0" xfId="0" applyNumberFormat="1" applyFont="1" applyFill="1" applyBorder="1" applyAlignment="1" applyProtection="1">
      <alignment vertical="top" wrapText="1"/>
    </xf>
    <xf numFmtId="49" fontId="18" fillId="0" borderId="0" xfId="0" applyFont="1" applyFill="1" applyBorder="1" applyAlignment="1" applyProtection="1">
      <alignment horizontal="right" vertical="top" wrapText="1"/>
    </xf>
    <xf numFmtId="49" fontId="18" fillId="0" borderId="0" xfId="0" applyFont="1" applyFill="1" applyBorder="1" applyAlignment="1" applyProtection="1">
      <alignment horizontal="left" vertical="top" wrapText="1"/>
    </xf>
    <xf numFmtId="49" fontId="60" fillId="0" borderId="0" xfId="0" applyFont="1" applyFill="1" applyBorder="1" applyAlignment="1" applyProtection="1">
      <alignment vertical="top" wrapText="1"/>
    </xf>
    <xf numFmtId="0" fontId="19" fillId="0" borderId="0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vertical="top" wrapText="1"/>
    </xf>
    <xf numFmtId="49" fontId="13" fillId="0" borderId="0" xfId="0" applyNumberFormat="1" applyFont="1" applyFill="1" applyBorder="1" applyAlignment="1" applyProtection="1">
      <alignment wrapText="1"/>
    </xf>
    <xf numFmtId="49" fontId="13" fillId="0" borderId="0" xfId="0" applyNumberFormat="1" applyFont="1" applyFill="1" applyBorder="1" applyAlignment="1" applyProtection="1">
      <alignment horizontal="left" wrapText="1"/>
    </xf>
    <xf numFmtId="49" fontId="60" fillId="0" borderId="0" xfId="0" applyFont="1" applyFill="1" applyBorder="1" applyAlignment="1" applyProtection="1">
      <alignment horizontal="right" wrapText="1"/>
    </xf>
    <xf numFmtId="0" fontId="8" fillId="0" borderId="4" xfId="47" applyFont="1" applyBorder="1" applyAlignment="1" applyProtection="1">
      <alignment vertical="center" wrapText="1"/>
    </xf>
    <xf numFmtId="0" fontId="8" fillId="0" borderId="4" xfId="47" applyNumberFormat="1" applyFont="1" applyFill="1" applyBorder="1" applyAlignment="1" applyProtection="1">
      <alignment horizontal="center" vertical="center" wrapText="1"/>
    </xf>
    <xf numFmtId="49" fontId="8" fillId="0" borderId="4" xfId="0" applyFont="1" applyBorder="1">
      <alignment vertical="top"/>
    </xf>
    <xf numFmtId="49" fontId="8" fillId="0" borderId="6" xfId="0" applyFont="1" applyBorder="1">
      <alignment vertical="top"/>
    </xf>
    <xf numFmtId="49" fontId="8" fillId="0" borderId="4" xfId="47" applyNumberFormat="1" applyFont="1" applyBorder="1" applyAlignment="1" applyProtection="1">
      <alignment vertical="center" wrapText="1"/>
    </xf>
    <xf numFmtId="49" fontId="8" fillId="0" borderId="4" xfId="0" applyNumberFormat="1" applyFont="1" applyBorder="1">
      <alignment vertical="top"/>
    </xf>
    <xf numFmtId="0" fontId="8" fillId="5" borderId="4" xfId="0" applyNumberFormat="1" applyFont="1" applyFill="1" applyBorder="1" applyAlignment="1" applyProtection="1">
      <alignment horizontal="center" vertical="center" wrapText="1"/>
    </xf>
    <xf numFmtId="0" fontId="8" fillId="5" borderId="8" xfId="0" applyNumberFormat="1" applyFont="1" applyFill="1" applyBorder="1" applyAlignment="1" applyProtection="1">
      <alignment horizontal="center" vertical="center" wrapText="1"/>
    </xf>
    <xf numFmtId="0" fontId="8" fillId="5" borderId="10" xfId="0" applyNumberFormat="1" applyFont="1" applyFill="1" applyBorder="1" applyAlignment="1" applyProtection="1">
      <alignment horizontal="center" vertical="center" wrapText="1"/>
    </xf>
    <xf numFmtId="0" fontId="8" fillId="5" borderId="14" xfId="0" applyNumberFormat="1" applyFont="1" applyFill="1" applyBorder="1" applyAlignment="1" applyProtection="1">
      <alignment horizontal="center" vertical="center" wrapText="1"/>
    </xf>
    <xf numFmtId="49" fontId="8" fillId="5" borderId="4" xfId="0" applyFont="1" applyFill="1" applyBorder="1" applyAlignment="1" applyProtection="1">
      <alignment horizontal="center" vertical="center" wrapText="1"/>
    </xf>
    <xf numFmtId="4" fontId="8" fillId="5" borderId="4" xfId="29" applyNumberFormat="1" applyFont="1" applyFill="1" applyBorder="1" applyAlignment="1" applyProtection="1">
      <alignment horizontal="center" vertical="center" wrapText="1"/>
    </xf>
    <xf numFmtId="0" fontId="8" fillId="5" borderId="4" xfId="47" applyFont="1" applyFill="1" applyBorder="1" applyAlignment="1" applyProtection="1">
      <alignment horizontal="center" vertical="center" wrapText="1"/>
    </xf>
    <xf numFmtId="0" fontId="66" fillId="5" borderId="4" xfId="47" applyFont="1" applyFill="1" applyBorder="1" applyAlignment="1" applyProtection="1">
      <alignment horizontal="center" vertical="center" wrapText="1"/>
    </xf>
    <xf numFmtId="49" fontId="8" fillId="0" borderId="0" xfId="0" applyFont="1" applyBorder="1" applyAlignment="1"/>
    <xf numFmtId="49" fontId="8" fillId="0" borderId="0" xfId="0" applyFont="1">
      <alignment vertical="top"/>
    </xf>
    <xf numFmtId="49" fontId="8" fillId="0" borderId="0" xfId="0" applyFont="1" applyBorder="1" applyAlignment="1">
      <alignment vertical="top"/>
    </xf>
    <xf numFmtId="0" fontId="66" fillId="0" borderId="0" xfId="38" applyFont="1" applyFill="1" applyBorder="1" applyAlignment="1" applyProtection="1">
      <alignment wrapText="1"/>
    </xf>
    <xf numFmtId="0" fontId="8" fillId="5" borderId="0" xfId="38" applyFont="1" applyFill="1" applyBorder="1" applyAlignment="1" applyProtection="1">
      <alignment horizontal="center" vertical="center" wrapText="1"/>
    </xf>
    <xf numFmtId="49" fontId="8" fillId="0" borderId="14" xfId="0" applyFont="1" applyBorder="1">
      <alignment vertical="top"/>
    </xf>
    <xf numFmtId="0" fontId="8" fillId="0" borderId="0" xfId="0" applyNumberFormat="1" applyFont="1" applyFill="1" applyBorder="1" applyAlignment="1" applyProtection="1">
      <alignment vertical="center" wrapText="1"/>
    </xf>
    <xf numFmtId="0" fontId="8" fillId="0" borderId="0" xfId="38" applyFont="1" applyBorder="1" applyAlignment="1" applyProtection="1">
      <alignment wrapText="1"/>
    </xf>
    <xf numFmtId="0" fontId="8" fillId="0" borderId="0" xfId="38" applyFont="1" applyAlignment="1" applyProtection="1">
      <alignment wrapText="1"/>
    </xf>
    <xf numFmtId="49" fontId="8" fillId="0" borderId="15" xfId="0" applyFont="1" applyBorder="1">
      <alignment vertical="top"/>
    </xf>
    <xf numFmtId="49" fontId="8" fillId="0" borderId="7" xfId="0" applyFont="1" applyBorder="1">
      <alignment vertical="top"/>
    </xf>
    <xf numFmtId="49" fontId="8" fillId="0" borderId="11" xfId="0" applyFont="1" applyBorder="1">
      <alignment vertical="top"/>
    </xf>
    <xf numFmtId="49" fontId="8" fillId="0" borderId="16" xfId="0" applyFont="1" applyBorder="1">
      <alignment vertical="top"/>
    </xf>
    <xf numFmtId="49" fontId="8" fillId="0" borderId="0" xfId="0" applyFont="1" applyBorder="1">
      <alignment vertical="top"/>
    </xf>
    <xf numFmtId="0" fontId="8" fillId="0" borderId="0" xfId="47" applyFont="1" applyAlignment="1" applyProtection="1">
      <alignment vertical="center" wrapText="1"/>
    </xf>
    <xf numFmtId="49" fontId="8" fillId="0" borderId="0" xfId="0" applyNumberFormat="1" applyFont="1">
      <alignment vertical="top"/>
    </xf>
    <xf numFmtId="49" fontId="8" fillId="0" borderId="0" xfId="0" applyFont="1" applyAlignment="1">
      <alignment horizontal="left" vertical="center"/>
    </xf>
    <xf numFmtId="49" fontId="68" fillId="0" borderId="0" xfId="0" applyFont="1" applyBorder="1">
      <alignment vertical="top"/>
    </xf>
    <xf numFmtId="49" fontId="68" fillId="5" borderId="5" xfId="34" applyNumberFormat="1" applyFont="1" applyFill="1" applyBorder="1" applyAlignment="1" applyProtection="1">
      <alignment horizontal="center" vertical="center" wrapText="1"/>
    </xf>
    <xf numFmtId="0" fontId="68" fillId="5" borderId="0" xfId="38" applyFont="1" applyFill="1" applyBorder="1" applyAlignment="1" applyProtection="1">
      <alignment wrapText="1"/>
    </xf>
    <xf numFmtId="0" fontId="68" fillId="0" borderId="0" xfId="38" applyFont="1" applyBorder="1" applyAlignment="1" applyProtection="1">
      <alignment wrapText="1"/>
    </xf>
    <xf numFmtId="0" fontId="68" fillId="5" borderId="0" xfId="38" applyFont="1" applyFill="1" applyBorder="1" applyAlignment="1" applyProtection="1">
      <alignment horizontal="center" vertical="center" wrapText="1"/>
    </xf>
    <xf numFmtId="0" fontId="12" fillId="4" borderId="8" xfId="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vertical="top" textRotation="90"/>
    </xf>
    <xf numFmtId="49" fontId="66" fillId="6" borderId="0" xfId="0" applyFont="1" applyFill="1" applyAlignment="1">
      <alignment horizontal="center" vertical="top"/>
    </xf>
    <xf numFmtId="49" fontId="8" fillId="7" borderId="0" xfId="0" applyFont="1" applyFill="1" applyAlignment="1">
      <alignment horizontal="right"/>
    </xf>
    <xf numFmtId="49" fontId="0" fillId="0" borderId="10" xfId="35" applyFont="1" applyFill="1" applyBorder="1" applyAlignment="1" applyProtection="1">
      <alignment horizontal="center" vertical="center" wrapText="1"/>
    </xf>
    <xf numFmtId="4" fontId="5" fillId="12" borderId="4" xfId="0" applyNumberFormat="1" applyFont="1" applyFill="1" applyBorder="1" applyAlignment="1" applyProtection="1">
      <alignment horizontal="right" vertical="center" wrapText="1"/>
    </xf>
    <xf numFmtId="49" fontId="67" fillId="5" borderId="5" xfId="0" applyFont="1" applyFill="1" applyBorder="1" applyAlignment="1" applyProtection="1">
      <alignment horizontal="center" vertical="center" wrapText="1"/>
    </xf>
    <xf numFmtId="0" fontId="67" fillId="5" borderId="17" xfId="34" applyNumberFormat="1" applyFont="1" applyFill="1" applyBorder="1" applyAlignment="1" applyProtection="1">
      <alignment horizontal="center" vertical="center" wrapText="1"/>
    </xf>
    <xf numFmtId="0" fontId="67" fillId="5" borderId="5" xfId="34" applyNumberFormat="1" applyFont="1" applyFill="1" applyBorder="1" applyAlignment="1" applyProtection="1">
      <alignment horizontal="center" vertical="center" wrapText="1"/>
    </xf>
    <xf numFmtId="0" fontId="67" fillId="5" borderId="5" xfId="38" applyFont="1" applyFill="1" applyBorder="1" applyAlignment="1" applyProtection="1">
      <alignment horizontal="center" wrapText="1"/>
    </xf>
    <xf numFmtId="49" fontId="67" fillId="5" borderId="17" xfId="34" applyNumberFormat="1" applyFont="1" applyFill="1" applyBorder="1" applyAlignment="1" applyProtection="1">
      <alignment horizontal="center" vertical="center" wrapText="1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4" xfId="0" applyNumberFormat="1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vertical="center" wrapText="1"/>
    </xf>
    <xf numFmtId="49" fontId="32" fillId="0" borderId="0" xfId="0" applyFont="1" applyAlignment="1" applyProtection="1">
      <alignment vertical="center"/>
    </xf>
    <xf numFmtId="49" fontId="32" fillId="7" borderId="0" xfId="0" applyFont="1" applyFill="1" applyAlignment="1" applyProtection="1">
      <alignment vertical="center" wrapText="1"/>
    </xf>
    <xf numFmtId="49" fontId="0" fillId="0" borderId="0" xfId="0" applyAlignment="1" applyProtection="1">
      <alignment vertical="center" wrapText="1"/>
    </xf>
    <xf numFmtId="49" fontId="32" fillId="0" borderId="0" xfId="0" applyFont="1" applyAlignment="1" applyProtection="1">
      <alignment vertical="center" wrapText="1"/>
    </xf>
    <xf numFmtId="49" fontId="69" fillId="0" borderId="11" xfId="25" applyNumberFormat="1" applyFont="1" applyBorder="1" applyAlignment="1" applyProtection="1">
      <alignment horizontal="center" vertical="center"/>
    </xf>
    <xf numFmtId="49" fontId="69" fillId="0" borderId="0" xfId="25" applyNumberFormat="1" applyFont="1" applyBorder="1" applyAlignment="1" applyProtection="1">
      <alignment horizontal="center" vertical="center"/>
    </xf>
    <xf numFmtId="49" fontId="60" fillId="0" borderId="20" xfId="0" applyFont="1" applyFill="1" applyBorder="1" applyAlignment="1" applyProtection="1">
      <alignment vertical="center" wrapText="1"/>
    </xf>
    <xf numFmtId="49" fontId="60" fillId="0" borderId="0" xfId="0" applyFont="1" applyFill="1" applyBorder="1" applyAlignment="1" applyProtection="1">
      <alignment vertical="center" wrapText="1"/>
    </xf>
    <xf numFmtId="49" fontId="60" fillId="0" borderId="20" xfId="0" applyFont="1" applyFill="1" applyBorder="1" applyAlignment="1" applyProtection="1">
      <alignment horizontal="left" vertical="center" wrapText="1"/>
    </xf>
    <xf numFmtId="49" fontId="60" fillId="0" borderId="0" xfId="0" applyFont="1" applyFill="1" applyBorder="1" applyAlignment="1" applyProtection="1">
      <alignment horizontal="left" vertical="center" wrapText="1"/>
    </xf>
    <xf numFmtId="0" fontId="60" fillId="0" borderId="0" xfId="0" applyNumberFormat="1" applyFont="1" applyFill="1" applyBorder="1" applyAlignment="1" applyProtection="1">
      <alignment horizontal="justify" vertical="center" wrapText="1"/>
    </xf>
    <xf numFmtId="0" fontId="5" fillId="0" borderId="0" xfId="0" applyNumberFormat="1" applyFont="1" applyFill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left" vertical="center"/>
    </xf>
    <xf numFmtId="0" fontId="18" fillId="11" borderId="21" xfId="0" applyNumberFormat="1" applyFont="1" applyFill="1" applyBorder="1" applyAlignment="1">
      <alignment horizontal="center" vertical="center" wrapText="1"/>
    </xf>
    <xf numFmtId="0" fontId="18" fillId="11" borderId="18" xfId="0" applyNumberFormat="1" applyFont="1" applyFill="1" applyBorder="1" applyAlignment="1">
      <alignment horizontal="center" vertical="center" wrapText="1"/>
    </xf>
    <xf numFmtId="0" fontId="18" fillId="11" borderId="19" xfId="0" applyNumberFormat="1" applyFont="1" applyFill="1" applyBorder="1" applyAlignment="1">
      <alignment horizontal="center" vertical="center" wrapText="1"/>
    </xf>
    <xf numFmtId="0" fontId="60" fillId="0" borderId="0" xfId="0" applyNumberFormat="1" applyFont="1" applyFill="1" applyBorder="1" applyAlignment="1" applyProtection="1">
      <alignment horizontal="justify" vertical="top" wrapText="1"/>
    </xf>
    <xf numFmtId="49" fontId="18" fillId="0" borderId="0" xfId="0" applyFont="1" applyFill="1" applyBorder="1" applyAlignment="1" applyProtection="1">
      <alignment horizontal="right" vertical="center" wrapText="1" indent="1"/>
    </xf>
    <xf numFmtId="49" fontId="50" fillId="0" borderId="0" xfId="25" applyNumberFormat="1" applyFill="1" applyBorder="1" applyAlignment="1" applyProtection="1">
      <alignment horizontal="left" vertical="center" wrapText="1" indent="1"/>
    </xf>
    <xf numFmtId="49" fontId="18" fillId="0" borderId="0" xfId="0" applyFont="1" applyFill="1" applyBorder="1" applyAlignment="1" applyProtection="1">
      <alignment horizontal="left" vertical="top" wrapText="1"/>
    </xf>
    <xf numFmtId="49" fontId="18" fillId="0" borderId="0" xfId="0" applyNumberFormat="1" applyFont="1" applyFill="1" applyBorder="1" applyAlignment="1" applyProtection="1">
      <alignment horizontal="left" vertical="center" wrapText="1" indent="1"/>
    </xf>
    <xf numFmtId="49" fontId="0" fillId="0" borderId="0" xfId="0" applyNumberFormat="1" applyFill="1" applyBorder="1" applyAlignment="1" applyProtection="1">
      <alignment horizontal="left" vertical="center" wrapText="1" indent="1"/>
    </xf>
    <xf numFmtId="49" fontId="63" fillId="0" borderId="0" xfId="26" applyNumberFormat="1" applyFill="1" applyBorder="1" applyAlignment="1" applyProtection="1">
      <alignment horizontal="left" vertical="top" wrapText="1" indent="1"/>
    </xf>
    <xf numFmtId="49" fontId="63" fillId="0" borderId="0" xfId="26" applyNumberFormat="1" applyFill="1" applyBorder="1" applyAlignment="1" applyProtection="1">
      <alignment horizontal="left" vertical="center" wrapText="1" indent="1"/>
    </xf>
    <xf numFmtId="49" fontId="60" fillId="0" borderId="0" xfId="0" applyFont="1" applyFill="1" applyBorder="1" applyAlignment="1" applyProtection="1">
      <alignment horizontal="justify" vertical="justify" wrapText="1"/>
    </xf>
    <xf numFmtId="49" fontId="60" fillId="0" borderId="0" xfId="0" applyFont="1" applyFill="1" applyBorder="1" applyAlignment="1" applyProtection="1">
      <alignment horizontal="left" wrapText="1"/>
    </xf>
    <xf numFmtId="0" fontId="5" fillId="5" borderId="0" xfId="41" applyFont="1" applyFill="1" applyBorder="1" applyAlignment="1" applyProtection="1">
      <alignment horizontal="right" vertical="center" wrapText="1" indent="1"/>
    </xf>
    <xf numFmtId="0" fontId="18" fillId="0" borderId="0" xfId="37" applyFont="1" applyBorder="1" applyAlignment="1" applyProtection="1">
      <alignment horizontal="right" vertical="center" wrapText="1"/>
    </xf>
    <xf numFmtId="0" fontId="18" fillId="5" borderId="0" xfId="40" applyFont="1" applyFill="1" applyBorder="1" applyAlignment="1" applyProtection="1">
      <alignment horizontal="right" vertical="center" wrapText="1"/>
    </xf>
    <xf numFmtId="0" fontId="18" fillId="0" borderId="8" xfId="40" applyFont="1" applyFill="1" applyBorder="1" applyAlignment="1" applyProtection="1">
      <alignment horizontal="center" vertical="center" wrapText="1"/>
    </xf>
    <xf numFmtId="0" fontId="18" fillId="0" borderId="4" xfId="40" applyFont="1" applyFill="1" applyBorder="1" applyAlignment="1" applyProtection="1">
      <alignment horizontal="center" vertical="center" wrapText="1"/>
    </xf>
    <xf numFmtId="0" fontId="18" fillId="0" borderId="6" xfId="40" applyFont="1" applyFill="1" applyBorder="1" applyAlignment="1" applyProtection="1">
      <alignment horizontal="center" vertical="center" wrapText="1"/>
    </xf>
    <xf numFmtId="49" fontId="0" fillId="5" borderId="0" xfId="0" applyFill="1" applyAlignment="1">
      <alignment horizontal="center" vertical="center" textRotation="90"/>
    </xf>
    <xf numFmtId="49" fontId="0" fillId="11" borderId="4" xfId="0" applyFill="1" applyBorder="1" applyAlignment="1" applyProtection="1">
      <alignment horizontal="center" vertical="center" wrapText="1"/>
    </xf>
    <xf numFmtId="49" fontId="14" fillId="11" borderId="4" xfId="0" applyFont="1" applyFill="1" applyBorder="1" applyAlignment="1" applyProtection="1">
      <alignment horizontal="center" vertical="center" wrapText="1"/>
    </xf>
    <xf numFmtId="49" fontId="12" fillId="11" borderId="4" xfId="0" applyFont="1" applyFill="1" applyBorder="1" applyAlignment="1" applyProtection="1">
      <alignment horizontal="center" vertical="center" wrapText="1"/>
    </xf>
    <xf numFmtId="49" fontId="5" fillId="4" borderId="4" xfId="0" applyFont="1" applyFill="1" applyBorder="1" applyAlignment="1" applyProtection="1">
      <alignment horizontal="center" vertical="center" wrapText="1"/>
    </xf>
    <xf numFmtId="0" fontId="51" fillId="5" borderId="0" xfId="25" applyFont="1" applyFill="1" applyBorder="1" applyAlignment="1" applyProtection="1">
      <alignment horizontal="center" vertical="center" wrapText="1"/>
    </xf>
    <xf numFmtId="49" fontId="5" fillId="5" borderId="4" xfId="0" applyFont="1" applyFill="1" applyBorder="1" applyAlignment="1" applyProtection="1">
      <alignment horizontal="center" vertical="center" wrapText="1"/>
    </xf>
    <xf numFmtId="49" fontId="0" fillId="4" borderId="4" xfId="0" applyFill="1" applyBorder="1" applyAlignment="1" applyProtection="1">
      <alignment horizontal="center" vertical="center" wrapText="1"/>
    </xf>
    <xf numFmtId="49" fontId="11" fillId="15" borderId="0" xfId="0" applyFont="1" applyFill="1" applyAlignment="1" applyProtection="1">
      <alignment horizontal="center" vertical="center" wrapText="1"/>
    </xf>
    <xf numFmtId="49" fontId="5" fillId="10" borderId="4" xfId="46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Font="1" applyFill="1" applyBorder="1" applyAlignment="1" applyProtection="1">
      <alignment horizontal="center" vertical="center" wrapText="1"/>
      <protection locked="0"/>
    </xf>
    <xf numFmtId="49" fontId="0" fillId="10" borderId="4" xfId="0" applyFont="1" applyFill="1" applyBorder="1" applyAlignment="1" applyProtection="1">
      <alignment horizontal="center" vertical="center" textRotation="90" wrapText="1"/>
      <protection locked="0"/>
    </xf>
    <xf numFmtId="49" fontId="5" fillId="4" borderId="4" xfId="0" applyFont="1" applyFill="1" applyBorder="1" applyAlignment="1" applyProtection="1">
      <alignment horizontal="center" vertical="center" textRotation="90" wrapText="1"/>
    </xf>
    <xf numFmtId="49" fontId="0" fillId="4" borderId="4" xfId="0" applyFont="1" applyFill="1" applyBorder="1" applyAlignment="1" applyProtection="1">
      <alignment horizontal="center" vertical="center" textRotation="90" wrapText="1"/>
    </xf>
    <xf numFmtId="0" fontId="12" fillId="4" borderId="8" xfId="0" applyNumberFormat="1" applyFont="1" applyFill="1" applyBorder="1" applyAlignment="1" applyProtection="1">
      <alignment horizontal="center" vertical="center" wrapText="1"/>
    </xf>
    <xf numFmtId="49" fontId="12" fillId="4" borderId="4" xfId="0" applyFont="1" applyFill="1" applyBorder="1" applyAlignment="1" applyProtection="1">
      <alignment horizontal="center" vertical="center" wrapText="1"/>
    </xf>
    <xf numFmtId="49" fontId="0" fillId="4" borderId="4" xfId="0" applyFont="1" applyFill="1" applyBorder="1" applyAlignment="1" applyProtection="1">
      <alignment horizontal="center" vertical="center" wrapText="1"/>
    </xf>
    <xf numFmtId="0" fontId="12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2" fillId="5" borderId="4" xfId="0" applyNumberFormat="1" applyFont="1" applyFill="1" applyBorder="1" applyAlignment="1" applyProtection="1">
      <alignment horizontal="center" vertical="center" wrapText="1"/>
    </xf>
    <xf numFmtId="49" fontId="5" fillId="0" borderId="4" xfId="0" applyFont="1" applyBorder="1" applyAlignment="1" applyProtection="1">
      <alignment horizontal="center" vertical="center" wrapText="1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49" fontId="5" fillId="3" borderId="4" xfId="0" applyFont="1" applyFill="1" applyBorder="1" applyAlignment="1" applyProtection="1">
      <alignment horizontal="center" vertical="center" wrapText="1"/>
      <protection locked="0"/>
    </xf>
    <xf numFmtId="49" fontId="12" fillId="11" borderId="4" xfId="0" applyFont="1" applyFill="1" applyBorder="1" applyAlignment="1" applyProtection="1">
      <alignment horizontal="center" vertical="center" textRotation="90" wrapText="1"/>
    </xf>
    <xf numFmtId="49" fontId="14" fillId="11" borderId="4" xfId="0" applyFont="1" applyFill="1" applyBorder="1" applyAlignment="1" applyProtection="1">
      <alignment horizontal="center" vertical="center" textRotation="90" wrapText="1"/>
    </xf>
    <xf numFmtId="49" fontId="0" fillId="16" borderId="0" xfId="0" applyFill="1" applyAlignment="1" applyProtection="1">
      <alignment horizontal="center" vertical="center" wrapText="1"/>
    </xf>
    <xf numFmtId="49" fontId="0" fillId="11" borderId="4" xfId="0" applyFill="1" applyBorder="1" applyAlignment="1" applyProtection="1">
      <alignment horizontal="center" vertical="center" textRotation="90" wrapText="1"/>
    </xf>
    <xf numFmtId="49" fontId="12" fillId="10" borderId="4" xfId="0" applyFont="1" applyFill="1" applyBorder="1" applyAlignment="1" applyProtection="1">
      <alignment horizontal="center" vertical="center" wrapText="1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38" applyFont="1" applyBorder="1" applyAlignment="1" applyProtection="1">
      <alignment horizontal="center" vertical="center" wrapText="1"/>
    </xf>
    <xf numFmtId="0" fontId="8" fillId="0" borderId="4" xfId="38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49" fontId="8" fillId="5" borderId="7" xfId="39" applyNumberFormat="1" applyFont="1" applyFill="1" applyBorder="1" applyAlignment="1" applyProtection="1">
      <alignment horizontal="center" vertical="center" wrapText="1"/>
    </xf>
    <xf numFmtId="49" fontId="8" fillId="5" borderId="14" xfId="39" applyNumberFormat="1" applyFont="1" applyFill="1" applyBorder="1" applyAlignment="1" applyProtection="1">
      <alignment horizontal="center" vertical="center" wrapText="1"/>
    </xf>
    <xf numFmtId="49" fontId="8" fillId="5" borderId="22" xfId="39" applyNumberFormat="1" applyFont="1" applyFill="1" applyBorder="1" applyAlignment="1" applyProtection="1">
      <alignment horizontal="center" vertical="center" wrapText="1"/>
    </xf>
    <xf numFmtId="49" fontId="8" fillId="5" borderId="23" xfId="39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22" xfId="0" applyNumberFormat="1" applyFont="1" applyFill="1" applyBorder="1" applyAlignment="1" applyProtection="1">
      <alignment horizontal="center" vertical="center" wrapText="1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49" fontId="42" fillId="5" borderId="0" xfId="0" applyFont="1" applyFill="1" applyBorder="1" applyAlignment="1" applyProtection="1">
      <alignment horizontal="center" vertical="center" wrapText="1"/>
    </xf>
    <xf numFmtId="0" fontId="8" fillId="0" borderId="23" xfId="38" applyFont="1" applyBorder="1" applyAlignment="1" applyProtection="1">
      <alignment horizontal="center" vertical="center" wrapText="1"/>
    </xf>
    <xf numFmtId="0" fontId="8" fillId="0" borderId="9" xfId="38" applyFont="1" applyBorder="1" applyAlignment="1" applyProtection="1">
      <alignment horizontal="center" vertical="center" wrapText="1"/>
    </xf>
    <xf numFmtId="49" fontId="42" fillId="0" borderId="0" xfId="0" applyFont="1" applyFill="1" applyBorder="1" applyAlignment="1" applyProtection="1">
      <alignment horizontal="center" vertical="center" wrapText="1"/>
    </xf>
    <xf numFmtId="0" fontId="42" fillId="0" borderId="0" xfId="0" applyNumberFormat="1" applyFont="1" applyFill="1" applyBorder="1" applyAlignment="1" applyProtection="1">
      <alignment horizontal="center" vertical="center" wrapText="1"/>
    </xf>
    <xf numFmtId="0" fontId="41" fillId="5" borderId="0" xfId="47" applyFont="1" applyFill="1" applyBorder="1" applyAlignment="1" applyProtection="1">
      <alignment horizontal="left" vertical="center" wrapText="1"/>
    </xf>
    <xf numFmtId="4" fontId="41" fillId="5" borderId="0" xfId="29" applyNumberFormat="1" applyFont="1" applyFill="1" applyBorder="1" applyAlignment="1" applyProtection="1">
      <alignment horizontal="left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10" xfId="38" applyFont="1" applyBorder="1" applyAlignment="1" applyProtection="1">
      <alignment horizontal="center" vertical="center" wrapText="1"/>
    </xf>
    <xf numFmtId="0" fontId="8" fillId="0" borderId="24" xfId="38" applyFont="1" applyBorder="1" applyAlignment="1" applyProtection="1">
      <alignment horizontal="center" vertical="center" wrapText="1"/>
    </xf>
    <xf numFmtId="0" fontId="53" fillId="0" borderId="0" xfId="0" applyNumberFormat="1" applyFont="1" applyBorder="1" applyAlignment="1">
      <alignment horizontal="center" vertical="center" wrapText="1"/>
    </xf>
    <xf numFmtId="49" fontId="8" fillId="5" borderId="4" xfId="0" applyFont="1" applyFill="1" applyBorder="1" applyAlignment="1" applyProtection="1">
      <alignment horizontal="center" vertical="center" wrapText="1"/>
    </xf>
    <xf numFmtId="0" fontId="8" fillId="0" borderId="4" xfId="47" applyFont="1" applyBorder="1" applyAlignment="1" applyProtection="1">
      <alignment horizontal="center" vertical="center" wrapText="1"/>
    </xf>
    <xf numFmtId="0" fontId="8" fillId="5" borderId="10" xfId="47" applyFont="1" applyFill="1" applyBorder="1" applyAlignment="1" applyProtection="1">
      <alignment horizontal="center" vertical="center" wrapText="1"/>
    </xf>
    <xf numFmtId="0" fontId="8" fillId="5" borderId="9" xfId="47" applyFont="1" applyFill="1" applyBorder="1" applyAlignment="1" applyProtection="1">
      <alignment horizontal="center" vertical="center" wrapText="1"/>
    </xf>
    <xf numFmtId="4" fontId="8" fillId="5" borderId="10" xfId="29" applyNumberFormat="1" applyFont="1" applyFill="1" applyBorder="1" applyAlignment="1" applyProtection="1">
      <alignment horizontal="center" vertical="center" wrapText="1"/>
    </xf>
    <xf numFmtId="4" fontId="8" fillId="5" borderId="24" xfId="29" applyNumberFormat="1" applyFont="1" applyFill="1" applyBorder="1" applyAlignment="1" applyProtection="1">
      <alignment horizontal="center" vertical="center" wrapText="1"/>
    </xf>
    <xf numFmtId="4" fontId="8" fillId="5" borderId="9" xfId="29" applyNumberFormat="1" applyFont="1" applyFill="1" applyBorder="1" applyAlignment="1" applyProtection="1">
      <alignment horizontal="center" vertical="center" wrapText="1"/>
    </xf>
    <xf numFmtId="49" fontId="8" fillId="5" borderId="10" xfId="47" applyNumberFormat="1" applyFont="1" applyFill="1" applyBorder="1" applyAlignment="1" applyProtection="1">
      <alignment horizontal="center" vertical="center" wrapText="1"/>
    </xf>
    <xf numFmtId="49" fontId="8" fillId="5" borderId="24" xfId="47" applyNumberFormat="1" applyFont="1" applyFill="1" applyBorder="1" applyAlignment="1" applyProtection="1">
      <alignment horizontal="center" vertical="center" wrapText="1"/>
    </xf>
    <xf numFmtId="49" fontId="8" fillId="5" borderId="9" xfId="47" applyNumberFormat="1" applyFont="1" applyFill="1" applyBorder="1" applyAlignment="1" applyProtection="1">
      <alignment horizontal="center" vertical="center" wrapText="1"/>
    </xf>
    <xf numFmtId="0" fontId="18" fillId="5" borderId="8" xfId="47" applyNumberFormat="1" applyFont="1" applyFill="1" applyBorder="1" applyAlignment="1" applyProtection="1">
      <alignment horizontal="center" vertical="center" wrapText="1"/>
    </xf>
    <xf numFmtId="0" fontId="18" fillId="5" borderId="4" xfId="47" applyNumberFormat="1" applyFont="1" applyFill="1" applyBorder="1" applyAlignment="1" applyProtection="1">
      <alignment horizontal="center" vertical="center" wrapText="1"/>
    </xf>
    <xf numFmtId="0" fontId="18" fillId="5" borderId="6" xfId="47" applyNumberFormat="1" applyFont="1" applyFill="1" applyBorder="1" applyAlignment="1" applyProtection="1">
      <alignment horizontal="center" vertical="center" wrapText="1"/>
    </xf>
    <xf numFmtId="0" fontId="5" fillId="0" borderId="0" xfId="47" applyNumberFormat="1" applyFont="1" applyFill="1" applyBorder="1" applyAlignment="1" applyProtection="1">
      <alignment horizontal="center" vertical="center" wrapText="1"/>
    </xf>
    <xf numFmtId="0" fontId="8" fillId="5" borderId="4" xfId="0" applyNumberFormat="1" applyFont="1" applyFill="1" applyBorder="1" applyAlignment="1" applyProtection="1">
      <alignment horizontal="center" vertical="center" wrapText="1"/>
    </xf>
    <xf numFmtId="49" fontId="15" fillId="0" borderId="0" xfId="0" applyFont="1" applyAlignment="1">
      <alignment horizontal="center" vertical="center" wrapText="1"/>
    </xf>
    <xf numFmtId="49" fontId="8" fillId="0" borderId="14" xfId="0" applyFont="1" applyBorder="1">
      <alignment vertical="top"/>
    </xf>
    <xf numFmtId="49" fontId="8" fillId="0" borderId="22" xfId="0" applyFont="1" applyBorder="1">
      <alignment vertical="top"/>
    </xf>
    <xf numFmtId="49" fontId="8" fillId="0" borderId="23" xfId="0" applyFont="1" applyBorder="1">
      <alignment vertical="top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0" fontId="8" fillId="5" borderId="0" xfId="38" applyFont="1" applyFill="1" applyBorder="1" applyAlignment="1" applyProtection="1">
      <alignment horizontal="center" vertical="center" wrapText="1"/>
    </xf>
    <xf numFmtId="0" fontId="41" fillId="0" borderId="0" xfId="38" applyFont="1" applyBorder="1" applyAlignment="1" applyProtection="1">
      <alignment horizontal="center" vertical="center" wrapText="1"/>
    </xf>
    <xf numFmtId="0" fontId="41" fillId="0" borderId="0" xfId="38" applyFont="1" applyFill="1" applyBorder="1" applyAlignment="1" applyProtection="1">
      <alignment horizontal="center" vertical="center" wrapText="1"/>
    </xf>
    <xf numFmtId="0" fontId="41" fillId="0" borderId="0" xfId="0" applyNumberFormat="1" applyFont="1" applyFill="1" applyBorder="1" applyAlignment="1" applyProtection="1">
      <alignment horizontal="center" vertical="center" wrapText="1"/>
    </xf>
    <xf numFmtId="49" fontId="41" fillId="5" borderId="0" xfId="47" applyNumberFormat="1" applyFont="1" applyFill="1" applyBorder="1" applyAlignment="1" applyProtection="1">
      <alignment horizontal="center" vertical="center" wrapText="1"/>
    </xf>
    <xf numFmtId="49" fontId="41" fillId="5" borderId="0" xfId="39" applyNumberFormat="1" applyFont="1" applyFill="1" applyBorder="1" applyAlignment="1" applyProtection="1">
      <alignment horizontal="center" vertical="center" wrapText="1"/>
    </xf>
    <xf numFmtId="0" fontId="42" fillId="5" borderId="0" xfId="0" applyNumberFormat="1" applyFont="1" applyFill="1" applyBorder="1" applyAlignment="1" applyProtection="1">
      <alignment horizontal="center" vertical="center" wrapText="1"/>
    </xf>
    <xf numFmtId="4" fontId="41" fillId="0" borderId="0" xfId="0" applyNumberFormat="1" applyFont="1" applyFill="1" applyBorder="1" applyAlignment="1" applyProtection="1">
      <alignment horizontal="left" vertical="center" wrapText="1"/>
    </xf>
    <xf numFmtId="4" fontId="41" fillId="0" borderId="0" xfId="43" applyNumberFormat="1" applyFont="1" applyFill="1" applyBorder="1" applyAlignment="1" applyProtection="1">
      <alignment horizontal="left" vertical="center" wrapText="1"/>
    </xf>
    <xf numFmtId="49" fontId="8" fillId="5" borderId="4" xfId="0" applyFont="1" applyFill="1" applyBorder="1" applyAlignment="1" applyProtection="1">
      <alignment horizontal="center" vertical="center" textRotation="90" wrapText="1"/>
    </xf>
    <xf numFmtId="49" fontId="8" fillId="5" borderId="10" xfId="0" applyFont="1" applyFill="1" applyBorder="1" applyAlignment="1" applyProtection="1">
      <alignment horizontal="center" vertical="center" textRotation="90" wrapText="1"/>
    </xf>
    <xf numFmtId="49" fontId="8" fillId="5" borderId="24" xfId="0" applyFont="1" applyFill="1" applyBorder="1" applyAlignment="1" applyProtection="1">
      <alignment horizontal="center" vertical="center" textRotation="90" wrapText="1"/>
    </xf>
    <xf numFmtId="49" fontId="8" fillId="5" borderId="9" xfId="0" applyFont="1" applyFill="1" applyBorder="1" applyAlignment="1" applyProtection="1">
      <alignment horizontal="center" vertical="center" textRotation="90" wrapText="1"/>
    </xf>
    <xf numFmtId="0" fontId="31" fillId="13" borderId="5" xfId="27" applyFont="1" applyFill="1" applyBorder="1" applyAlignment="1" applyProtection="1">
      <alignment horizontal="left" vertical="center" indent="1"/>
    </xf>
    <xf numFmtId="0" fontId="41" fillId="5" borderId="0" xfId="47" applyFont="1" applyFill="1" applyBorder="1" applyAlignment="1" applyProtection="1">
      <alignment horizontal="center" vertical="center" wrapText="1"/>
    </xf>
    <xf numFmtId="0" fontId="53" fillId="11" borderId="25" xfId="38" applyFont="1" applyFill="1" applyBorder="1" applyAlignment="1" applyProtection="1">
      <alignment horizontal="center" vertical="center" wrapText="1"/>
    </xf>
    <xf numFmtId="0" fontId="53" fillId="11" borderId="26" xfId="38" applyFont="1" applyFill="1" applyBorder="1" applyAlignment="1" applyProtection="1">
      <alignment horizontal="center" vertical="center" wrapText="1"/>
    </xf>
    <xf numFmtId="0" fontId="53" fillId="11" borderId="27" xfId="38" applyFont="1" applyFill="1" applyBorder="1" applyAlignment="1" applyProtection="1">
      <alignment horizontal="center" vertical="center" wrapText="1"/>
    </xf>
    <xf numFmtId="49" fontId="18" fillId="0" borderId="0" xfId="0" applyFont="1" applyAlignment="1" applyProtection="1">
      <alignment horizontal="justify" vertical="center"/>
    </xf>
    <xf numFmtId="0" fontId="18" fillId="0" borderId="0" xfId="0" applyNumberFormat="1" applyFont="1" applyAlignment="1" applyProtection="1">
      <alignment horizontal="justify" vertical="center"/>
    </xf>
    <xf numFmtId="0" fontId="5" fillId="3" borderId="4" xfId="36" applyFont="1" applyFill="1" applyBorder="1" applyAlignment="1" applyProtection="1">
      <alignment horizontal="center" vertical="center" wrapText="1"/>
      <protection locked="0"/>
    </xf>
    <xf numFmtId="0" fontId="15" fillId="11" borderId="4" xfId="38" applyFont="1" applyFill="1" applyBorder="1" applyAlignment="1" applyProtection="1">
      <alignment horizontal="center" vertical="center" wrapText="1"/>
    </xf>
    <xf numFmtId="49" fontId="18" fillId="0" borderId="0" xfId="0" applyFont="1" applyAlignment="1" applyProtection="1">
      <alignment horizontal="left" vertical="center"/>
    </xf>
    <xf numFmtId="0" fontId="18" fillId="0" borderId="0" xfId="0" quotePrefix="1" applyNumberFormat="1" applyFont="1" applyAlignment="1" applyProtection="1">
      <alignment horizontal="justify" vertical="center"/>
    </xf>
  </cellXfs>
  <cellStyles count="8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66" builtinId="30" hidden="1"/>
    <cellStyle name="20% - Акцент2" xfId="70" builtinId="34" hidden="1"/>
    <cellStyle name="20% - Акцент3" xfId="74" builtinId="38" hidden="1"/>
    <cellStyle name="20% - Акцент4" xfId="78" builtinId="42" hidden="1"/>
    <cellStyle name="20% - Акцент5" xfId="82" builtinId="46" hidden="1"/>
    <cellStyle name="20% - Акцент6" xfId="86" builtinId="50" hidden="1"/>
    <cellStyle name="40% - Акцент1" xfId="67" builtinId="31" hidden="1"/>
    <cellStyle name="40% - Акцент2" xfId="71" builtinId="35" hidden="1"/>
    <cellStyle name="40% - Акцент3" xfId="75" builtinId="39" hidden="1"/>
    <cellStyle name="40% - Акцент4" xfId="79" builtinId="43" hidden="1"/>
    <cellStyle name="40% - Акцент5" xfId="83" builtinId="47" hidden="1"/>
    <cellStyle name="40% - Акцент6" xfId="87" builtinId="51" hidden="1"/>
    <cellStyle name="60% - Акцент1" xfId="68" builtinId="32" hidden="1"/>
    <cellStyle name="60% - Акцент2" xfId="72" builtinId="36" hidden="1"/>
    <cellStyle name="60% - Акцент3" xfId="76" builtinId="40" hidden="1"/>
    <cellStyle name="60% - Акцент4" xfId="80" builtinId="44" hidden="1"/>
    <cellStyle name="60% - Акцент5" xfId="84" builtinId="48" hidden="1"/>
    <cellStyle name="60% - Акцент6" xfId="88" builtinId="52" hidden="1"/>
    <cellStyle name="Currency [0]" xfId="16"/>
    <cellStyle name="Currency2" xfId="17"/>
    <cellStyle name="Followed Hyperlink" xfId="18"/>
    <cellStyle name="Hyperlink" xfId="19"/>
    <cellStyle name="normal" xfId="20"/>
    <cellStyle name="Normal1" xfId="21"/>
    <cellStyle name="Normal2" xfId="22"/>
    <cellStyle name="Percent1" xfId="23"/>
    <cellStyle name="Акцент1" xfId="65" builtinId="29" hidden="1"/>
    <cellStyle name="Акцент2" xfId="69" builtinId="33" hidden="1"/>
    <cellStyle name="Акцент3" xfId="73" builtinId="37" hidden="1"/>
    <cellStyle name="Акцент4" xfId="77" builtinId="41" hidden="1"/>
    <cellStyle name="Акцент5" xfId="81" builtinId="45" hidden="1"/>
    <cellStyle name="Акцент6" xfId="85" builtinId="49" hidden="1"/>
    <cellStyle name="Ввод " xfId="24" builtinId="20" customBuiltin="1"/>
    <cellStyle name="Вывод" xfId="57" builtinId="21" hidden="1"/>
    <cellStyle name="Вычисление" xfId="58" builtinId="22" hidden="1"/>
    <cellStyle name="Гиперссылка" xfId="25" builtinId="8"/>
    <cellStyle name="Гиперссылка 2" xfId="26"/>
    <cellStyle name="Гиперссылка 2 2" xfId="27"/>
    <cellStyle name="Заголовок 1" xfId="50" builtinId="16" hidden="1"/>
    <cellStyle name="Заголовок 2" xfId="51" builtinId="17" hidden="1"/>
    <cellStyle name="Заголовок 3" xfId="52" builtinId="18" hidden="1"/>
    <cellStyle name="Заголовок 4" xfId="53" builtinId="19" hidden="1"/>
    <cellStyle name="ЗаголовокСтолбца" xfId="28"/>
    <cellStyle name="Значение" xfId="29"/>
    <cellStyle name="Итог" xfId="64" builtinId="25" hidden="1"/>
    <cellStyle name="Контрольная ячейка" xfId="60" builtinId="23" hidden="1"/>
    <cellStyle name="Название" xfId="49" builtinId="15" hidden="1"/>
    <cellStyle name="Нейтральный" xfId="56" builtinId="28" hidden="1"/>
    <cellStyle name="Обычный" xfId="0" builtinId="0"/>
    <cellStyle name="Обычный 10" xfId="30"/>
    <cellStyle name="Обычный 3" xfId="31"/>
    <cellStyle name="Обычный_46EE(v6.1.1)" xfId="32"/>
    <cellStyle name="Обычный_BALANCE.WARM.2007YEAR(FACT)" xfId="33"/>
    <cellStyle name="Обычный_Kom kompleks" xfId="34"/>
    <cellStyle name="Обычный_PREDEL.JKH.2010(v1.3)" xfId="35"/>
    <cellStyle name="Обычный_PRIL1.ELECTR" xfId="36"/>
    <cellStyle name="Обычный_PRIL1.ELECTR 2" xfId="37"/>
    <cellStyle name="Обычный_VO_2_2" xfId="38"/>
    <cellStyle name="Обычный_Вода" xfId="39"/>
    <cellStyle name="Обычный_ЖКУ_проект3" xfId="40"/>
    <cellStyle name="Обычный_ЖКУ_проект3 2" xfId="41"/>
    <cellStyle name="Обычный_ЖКУ_проект3 2 2" xfId="42"/>
    <cellStyle name="Обычный_Мониторинг инвестиций" xfId="43"/>
    <cellStyle name="Обычный_Мониторинг по тарифам ТОWRK_BU" xfId="44"/>
    <cellStyle name="Обычный_Мониторинг ФОТ" xfId="45"/>
    <cellStyle name="Обычный_Мониторирг по ВО на 2008 год jd 2" xfId="46"/>
    <cellStyle name="Обычный_Тепло" xfId="47"/>
    <cellStyle name="Плохой" xfId="55" builtinId="27" hidden="1"/>
    <cellStyle name="Пояснение" xfId="63" builtinId="53" hidden="1"/>
    <cellStyle name="Примечание" xfId="62" builtinId="10" hidden="1"/>
    <cellStyle name="Связанная ячейка" xfId="59" builtinId="24" hidden="1"/>
    <cellStyle name="Текст предупреждения" xfId="61" builtinId="11" hidden="1"/>
    <cellStyle name="Формула" xfId="48"/>
    <cellStyle name="Хороший" xfId="54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FFFFEB"/>
      <rgbColor rgb="000000FF"/>
      <rgbColor rgb="00FFFF00"/>
      <rgbColor rgb="00FF00FF"/>
      <rgbColor rgb="0000FFFF"/>
      <rgbColor rgb="00800000"/>
      <rgbColor rgb="00FF9966"/>
      <rgbColor rgb="00000080"/>
      <rgbColor rgb="00808000"/>
      <rgbColor rgb="00800080"/>
      <rgbColor rgb="00008080"/>
      <rgbColor rgb="00BCBCBC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D3DBDB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EAEBEE"/>
      <rgbColor rgb="00FF99CC"/>
      <rgbColor rgb="00CC99FF"/>
      <rgbColor rgb="00FFCC99"/>
      <rgbColor rgb="003366FF"/>
      <rgbColor rgb="0033CCCC"/>
      <rgbColor rgb="00CCFF99"/>
      <rgbColor rgb="00FFCC00"/>
      <rgbColor rgb="00FF9900"/>
      <rgbColor rgb="00FF6600"/>
      <rgbColor rgb="00666699"/>
      <rgbColor rgb="00D9D9D9"/>
      <rgbColor rgb="00003366"/>
      <rgbColor rgb="00FF5050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Size" ax:value="344;344"/>
  <ax:ocxPr ax:name="FontName" ax:value="Tahoma"/>
  <ax:ocxPr ax:name="FontHeight" ax:value="180"/>
  <ax:ocxPr ax:name="FontCharSet" ax:value="204"/>
  <ax:ocxPr ax:name="FontPitchAndFamily" ax:value="2"/>
  <ax:ocxPr ax:name="ParagraphAlign" ax:value="3"/>
</ax:ocx>
</file>

<file path=xl/activeX/activeX2.xml><?xml version="1.0" encoding="utf-8"?>
<ax:ocx xmlns:ax="http://schemas.microsoft.com/office/2006/activeX" xmlns:r="http://schemas.openxmlformats.org/officeDocument/2006/relationships" ax:classid="{8BD21D60-EC42-11CE-9E0D-00AA006002F3}" ax:persistence="persistPropertyBag">
  <ax:ocxPr ax:name="BackColor" ax:value="2147483663"/>
  <ax:ocxPr ax:name="ForeColor" ax:value="2147483666"/>
  <ax:ocxPr ax:name="DisplayStyle" ax:value="6"/>
  <ax:ocxPr ax:name="Size" ax:value="3096;767"/>
  <ax:ocxPr ax:name="Value" ax:value="1"/>
  <ax:ocxPr ax:name="Caption" ax:value="Колонки с НДС"/>
  <ax:ocxPr ax:name="FontName" ax:value="Tahoma"/>
  <ax:ocxPr ax:name="FontHeight" ax:value="180"/>
  <ax:ocxPr ax:name="FontCharSet" ax:value="204"/>
  <ax:ocxPr ax:name="FontPitchAndFamily" ax:value="2"/>
  <ax:ocxPr ax:name="ParagraphAlign" ax:value="3"/>
</ax:ocx>
</file>

<file path=xl/activeX/activeX3.xml><?xml version="1.0" encoding="utf-8"?>
<ax:ocx xmlns:ax="http://schemas.microsoft.com/office/2006/activeX" xmlns:r="http://schemas.openxmlformats.org/officeDocument/2006/relationships" ax:classid="{8BD21D60-EC42-11CE-9E0D-00AA006002F3}" ax:persistence="persistPropertyBag">
  <ax:ocxPr ax:name="BackColor" ax:value="2147483663"/>
  <ax:ocxPr ax:name="ForeColor" ax:value="2147483666"/>
  <ax:ocxPr ax:name="DisplayStyle" ax:value="6"/>
  <ax:ocxPr ax:name="Size" ax:value="3096;767"/>
  <ax:ocxPr ax:name="Value" ax:value="0"/>
  <ax:ocxPr ax:name="Caption" ax:value="Колонки без НДС"/>
  <ax:ocxPr ax:name="FontName" ax:value="Tahoma"/>
  <ax:ocxPr ax:name="FontHeight" ax:value="180"/>
  <ax:ocxPr ax:name="FontCharSet" ax:value="204"/>
  <ax:ocxPr ax:name="FontPitchAndFamily" ax:value="2"/>
  <ax:ocxPr ax:name="ParagraphAlign" ax:value="3"/>
</ax:ocx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Size" ax:value="344;344"/>
  <ax:ocxPr ax:name="FontName" ax:value="Tahoma"/>
  <ax:ocxPr ax:name="FontHeight" ax:value="180"/>
  <ax:ocxPr ax:name="FontCharSet" ax:value="204"/>
  <ax:ocxPr ax:name="FontPitchAndFamily" ax:value="2"/>
  <ax:ocxPr ax:name="ParagraphAlign" ax:value="3"/>
</ax:ocx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Size" ax:value="344;344"/>
  <ax:ocxPr ax:name="FontName" ax:value="Tahoma"/>
  <ax:ocxPr ax:name="FontHeight" ax:value="180"/>
  <ax:ocxPr ax:name="FontCharSet" ax:value="204"/>
  <ax:ocxPr ax:name="FontPitchAndFamily" ax:value="2"/>
  <ax:ocxPr ax:name="ParagraphAlign" ax:value="3"/>
</ax:ocx>
</file>

<file path=xl/activeX/activeX6.xml><?xml version="1.0" encoding="utf-8"?>
<ax:ocx xmlns:ax="http://schemas.microsoft.com/office/2006/activeX" xmlns:r="http://schemas.openxmlformats.org/officeDocument/2006/relationships" ax:classid="{8BD21D60-EC42-11CE-9E0D-00AA006002F3}" ax:persistence="persistPropertyBag">
  <ax:ocxPr ax:name="BackColor" ax:value="2147483663"/>
  <ax:ocxPr ax:name="ForeColor" ax:value="2147483666"/>
  <ax:ocxPr ax:name="DisplayStyle" ax:value="6"/>
  <ax:ocxPr ax:name="Size" ax:value="3096;767"/>
  <ax:ocxPr ax:name="Value" ax:value="1"/>
  <ax:ocxPr ax:name="Caption" ax:value="Колонки с НДС"/>
  <ax:ocxPr ax:name="FontName" ax:value="Tahoma"/>
  <ax:ocxPr ax:name="FontHeight" ax:value="180"/>
  <ax:ocxPr ax:name="FontCharSet" ax:value="204"/>
  <ax:ocxPr ax:name="FontPitchAndFamily" ax:value="2"/>
  <ax:ocxPr ax:name="ParagraphAlign" ax:value="3"/>
</ax:ocx>
</file>

<file path=xl/activeX/activeX7.xml><?xml version="1.0" encoding="utf-8"?>
<ax:ocx xmlns:ax="http://schemas.microsoft.com/office/2006/activeX" xmlns:r="http://schemas.openxmlformats.org/officeDocument/2006/relationships" ax:classid="{8BD21D60-EC42-11CE-9E0D-00AA006002F3}" ax:persistence="persistPropertyBag">
  <ax:ocxPr ax:name="BackColor" ax:value="2147483663"/>
  <ax:ocxPr ax:name="ForeColor" ax:value="2147483666"/>
  <ax:ocxPr ax:name="DisplayStyle" ax:value="6"/>
  <ax:ocxPr ax:name="Size" ax:value="3096;767"/>
  <ax:ocxPr ax:name="Value" ax:value="1"/>
  <ax:ocxPr ax:name="Caption" ax:value="Колонки без НДС"/>
  <ax:ocxPr ax:name="FontName" ax:value="Tahoma"/>
  <ax:ocxPr ax:name="FontHeight" ax:value="180"/>
  <ax:ocxPr ax:name="FontCharSet" ax:value="204"/>
  <ax:ocxPr ax:name="FontPitchAndFamily" ax:value="2"/>
  <ax:ocxPr ax:name="ParagraphAlign" ax:value="3"/>
</ax:ocx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8.png"/><Relationship Id="rId1" Type="http://schemas.openxmlformats.org/officeDocument/2006/relationships/image" Target="../media/image32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5.emf"/><Relationship Id="rId2" Type="http://schemas.openxmlformats.org/officeDocument/2006/relationships/image" Target="../media/image24.emf"/><Relationship Id="rId1" Type="http://schemas.openxmlformats.org/officeDocument/2006/relationships/image" Target="../media/image23.emf"/><Relationship Id="rId5" Type="http://schemas.openxmlformats.org/officeDocument/2006/relationships/image" Target="../media/image27.emf"/><Relationship Id="rId4" Type="http://schemas.openxmlformats.org/officeDocument/2006/relationships/image" Target="../media/image26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1.emf"/><Relationship Id="rId2" Type="http://schemas.openxmlformats.org/officeDocument/2006/relationships/image" Target="../media/image30.emf"/><Relationship Id="rId1" Type="http://schemas.openxmlformats.org/officeDocument/2006/relationships/image" Target="../media/image29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4.emf"/><Relationship Id="rId2" Type="http://schemas.openxmlformats.org/officeDocument/2006/relationships/image" Target="../media/image33.emf"/><Relationship Id="rId1" Type="http://schemas.openxmlformats.org/officeDocument/2006/relationships/image" Target="../media/image2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444498</xdr:rowOff>
    </xdr:from>
    <xdr:to>
      <xdr:col>3</xdr:col>
      <xdr:colOff>0</xdr:colOff>
      <xdr:row>107</xdr:row>
      <xdr:rowOff>193805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292598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oneCell">
    <xdr:from>
      <xdr:col>1</xdr:col>
      <xdr:colOff>0</xdr:colOff>
      <xdr:row>17</xdr:row>
      <xdr:rowOff>171448</xdr:rowOff>
    </xdr:from>
    <xdr:to>
      <xdr:col>3</xdr:col>
      <xdr:colOff>0</xdr:colOff>
      <xdr:row>18</xdr:row>
      <xdr:rowOff>444498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29048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oneCell">
    <xdr:from>
      <xdr:col>1</xdr:col>
      <xdr:colOff>0</xdr:colOff>
      <xdr:row>15</xdr:row>
      <xdr:rowOff>88898</xdr:rowOff>
    </xdr:from>
    <xdr:to>
      <xdr:col>3</xdr:col>
      <xdr:colOff>0</xdr:colOff>
      <xdr:row>17</xdr:row>
      <xdr:rowOff>171448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65498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oneCell">
    <xdr:from>
      <xdr:col>1</xdr:col>
      <xdr:colOff>0</xdr:colOff>
      <xdr:row>12</xdr:row>
      <xdr:rowOff>482598</xdr:rowOff>
    </xdr:from>
    <xdr:to>
      <xdr:col>3</xdr:col>
      <xdr:colOff>0</xdr:colOff>
      <xdr:row>15</xdr:row>
      <xdr:rowOff>89030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01948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oneCell">
    <xdr:from>
      <xdr:col>1</xdr:col>
      <xdr:colOff>0</xdr:colOff>
      <xdr:row>12</xdr:row>
      <xdr:rowOff>19048</xdr:rowOff>
    </xdr:from>
    <xdr:to>
      <xdr:col>3</xdr:col>
      <xdr:colOff>0</xdr:colOff>
      <xdr:row>12</xdr:row>
      <xdr:rowOff>482598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38398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oneCell">
    <xdr:from>
      <xdr:col>1</xdr:col>
      <xdr:colOff>0</xdr:colOff>
      <xdr:row>10</xdr:row>
      <xdr:rowOff>50798</xdr:rowOff>
    </xdr:from>
    <xdr:to>
      <xdr:col>3</xdr:col>
      <xdr:colOff>0</xdr:colOff>
      <xdr:row>12</xdr:row>
      <xdr:rowOff>19048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74848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oneCell">
    <xdr:from>
      <xdr:col>1</xdr:col>
      <xdr:colOff>0</xdr:colOff>
      <xdr:row>7</xdr:row>
      <xdr:rowOff>92073</xdr:rowOff>
    </xdr:from>
    <xdr:to>
      <xdr:col>3</xdr:col>
      <xdr:colOff>0</xdr:colOff>
      <xdr:row>10</xdr:row>
      <xdr:rowOff>50930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11298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0</xdr:colOff>
      <xdr:row>98</xdr:row>
      <xdr:rowOff>0</xdr:rowOff>
    </xdr:from>
    <xdr:to>
      <xdr:col>9</xdr:col>
      <xdr:colOff>182879</xdr:colOff>
      <xdr:row>100</xdr:row>
      <xdr:rowOff>38100</xdr:rowOff>
    </xdr:to>
    <xdr:sp macro="[0]!Instruction.cmdGetUpdate_Click" textlink="">
      <xdr:nvSpPr>
        <xdr:cNvPr id="13" name="cmdGetUpdate" hidden="1"/>
        <xdr:cNvSpPr txBox="1">
          <a:spLocks noChangeArrowheads="1"/>
        </xdr:cNvSpPr>
      </xdr:nvSpPr>
      <xdr:spPr bwMode="auto">
        <a:xfrm>
          <a:off x="2571750" y="2466975"/>
          <a:ext cx="1668779" cy="4191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10</xdr:col>
      <xdr:colOff>0</xdr:colOff>
      <xdr:row>98</xdr:row>
      <xdr:rowOff>0</xdr:rowOff>
    </xdr:from>
    <xdr:to>
      <xdr:col>15</xdr:col>
      <xdr:colOff>192404</xdr:colOff>
      <xdr:row>100</xdr:row>
      <xdr:rowOff>38100</xdr:rowOff>
    </xdr:to>
    <xdr:sp macro="[0]!Instruction.cmdShowHideUpdateLog_Click" textlink="">
      <xdr:nvSpPr>
        <xdr:cNvPr id="14" name="cmdShowHideUpdateLog" hidden="1"/>
        <xdr:cNvSpPr txBox="1">
          <a:spLocks noChangeArrowheads="1"/>
        </xdr:cNvSpPr>
      </xdr:nvSpPr>
      <xdr:spPr bwMode="auto">
        <a:xfrm>
          <a:off x="4352925" y="2466975"/>
          <a:ext cx="1668779" cy="4191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0475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90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0475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90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0475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1190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</xdr:row>
      <xdr:rowOff>400048</xdr:rowOff>
    </xdr:from>
    <xdr:to>
      <xdr:col>3</xdr:col>
      <xdr:colOff>0</xdr:colOff>
      <xdr:row>7</xdr:row>
      <xdr:rowOff>92073</xdr:rowOff>
    </xdr:to>
    <xdr:sp macro="[0]!Instruction.BlockClick" textlink="">
      <xdr:nvSpPr>
        <xdr:cNvPr id="18" name="InstrBlock_1"/>
        <xdr:cNvSpPr txBox="1">
          <a:spLocks noChangeArrowheads="1"/>
        </xdr:cNvSpPr>
      </xdr:nvSpPr>
      <xdr:spPr bwMode="auto">
        <a:xfrm>
          <a:off x="219075" y="1047748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28575</xdr:colOff>
      <xdr:row>5</xdr:row>
      <xdr:rowOff>38100</xdr:rowOff>
    </xdr:from>
    <xdr:to>
      <xdr:col>1</xdr:col>
      <xdr:colOff>457200</xdr:colOff>
      <xdr:row>7</xdr:row>
      <xdr:rowOff>85725</xdr:rowOff>
    </xdr:to>
    <xdr:pic macro="[0]!Instruction.BlockClick">
      <xdr:nvPicPr>
        <xdr:cNvPr id="204758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85850"/>
          <a:ext cx="4286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28575</xdr:colOff>
      <xdr:row>7</xdr:row>
      <xdr:rowOff>133350</xdr:rowOff>
    </xdr:from>
    <xdr:to>
      <xdr:col>1</xdr:col>
      <xdr:colOff>447675</xdr:colOff>
      <xdr:row>10</xdr:row>
      <xdr:rowOff>38100</xdr:rowOff>
    </xdr:to>
    <xdr:pic macro="[0]!Instruction.BlockClick">
      <xdr:nvPicPr>
        <xdr:cNvPr id="204759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7650" y="1552575"/>
          <a:ext cx="419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28575</xdr:colOff>
      <xdr:row>10</xdr:row>
      <xdr:rowOff>85725</xdr:rowOff>
    </xdr:from>
    <xdr:to>
      <xdr:col>1</xdr:col>
      <xdr:colOff>409575</xdr:colOff>
      <xdr:row>12</xdr:row>
      <xdr:rowOff>9525</xdr:rowOff>
    </xdr:to>
    <xdr:pic macro="[0]!Instruction.BlockClick">
      <xdr:nvPicPr>
        <xdr:cNvPr id="204760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47650" y="2019300"/>
          <a:ext cx="3810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28575</xdr:colOff>
      <xdr:row>12</xdr:row>
      <xdr:rowOff>57150</xdr:rowOff>
    </xdr:from>
    <xdr:to>
      <xdr:col>1</xdr:col>
      <xdr:colOff>409575</xdr:colOff>
      <xdr:row>12</xdr:row>
      <xdr:rowOff>476250</xdr:rowOff>
    </xdr:to>
    <xdr:pic macro="[0]!Instruction.BlockClick">
      <xdr:nvPicPr>
        <xdr:cNvPr id="204761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7650" y="2486025"/>
          <a:ext cx="3810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28575</xdr:colOff>
      <xdr:row>13</xdr:row>
      <xdr:rowOff>38100</xdr:rowOff>
    </xdr:from>
    <xdr:to>
      <xdr:col>1</xdr:col>
      <xdr:colOff>447675</xdr:colOff>
      <xdr:row>15</xdr:row>
      <xdr:rowOff>76200</xdr:rowOff>
    </xdr:to>
    <xdr:pic macro="[0]!Instruction.BlockClick">
      <xdr:nvPicPr>
        <xdr:cNvPr id="204762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7650" y="2952750"/>
          <a:ext cx="419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28575</xdr:colOff>
      <xdr:row>15</xdr:row>
      <xdr:rowOff>123825</xdr:rowOff>
    </xdr:from>
    <xdr:to>
      <xdr:col>1</xdr:col>
      <xdr:colOff>419100</xdr:colOff>
      <xdr:row>17</xdr:row>
      <xdr:rowOff>161925</xdr:rowOff>
    </xdr:to>
    <xdr:pic macro="[0]!Instruction.BlockClick">
      <xdr:nvPicPr>
        <xdr:cNvPr id="204763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47650" y="3419475"/>
          <a:ext cx="3905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28575</xdr:colOff>
      <xdr:row>18</xdr:row>
      <xdr:rowOff>19050</xdr:rowOff>
    </xdr:from>
    <xdr:to>
      <xdr:col>1</xdr:col>
      <xdr:colOff>428625</xdr:colOff>
      <xdr:row>18</xdr:row>
      <xdr:rowOff>438150</xdr:rowOff>
    </xdr:to>
    <xdr:pic macro="[0]!Instruction.BlockClick">
      <xdr:nvPicPr>
        <xdr:cNvPr id="204764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47650" y="3886200"/>
          <a:ext cx="4000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0476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3867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0476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4591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28575</xdr:colOff>
      <xdr:row>18</xdr:row>
      <xdr:rowOff>485775</xdr:rowOff>
    </xdr:from>
    <xdr:to>
      <xdr:col>1</xdr:col>
      <xdr:colOff>438150</xdr:colOff>
      <xdr:row>107</xdr:row>
      <xdr:rowOff>180975</xdr:rowOff>
    </xdr:to>
    <xdr:pic macro="[0]!Instruction.BlockClick">
      <xdr:nvPicPr>
        <xdr:cNvPr id="204767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47650" y="4352925"/>
          <a:ext cx="409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94</xdr:row>
      <xdr:rowOff>47625</xdr:rowOff>
    </xdr:from>
    <xdr:to>
      <xdr:col>4</xdr:col>
      <xdr:colOff>257175</xdr:colOff>
      <xdr:row>95</xdr:row>
      <xdr:rowOff>9525</xdr:rowOff>
    </xdr:to>
    <xdr:pic macro="[0]!Instruction.chkUpdates_Click">
      <xdr:nvPicPr>
        <xdr:cNvPr id="204768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910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96</xdr:row>
      <xdr:rowOff>57150</xdr:rowOff>
    </xdr:from>
    <xdr:to>
      <xdr:col>4</xdr:col>
      <xdr:colOff>257175</xdr:colOff>
      <xdr:row>97</xdr:row>
      <xdr:rowOff>19050</xdr:rowOff>
    </xdr:to>
    <xdr:pic macro="[0]!Instruction.chkUpdates_Click">
      <xdr:nvPicPr>
        <xdr:cNvPr id="204769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910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96</xdr:row>
      <xdr:rowOff>57150</xdr:rowOff>
    </xdr:from>
    <xdr:to>
      <xdr:col>4</xdr:col>
      <xdr:colOff>257175</xdr:colOff>
      <xdr:row>97</xdr:row>
      <xdr:rowOff>19050</xdr:rowOff>
    </xdr:to>
    <xdr:pic macro="[0]!Instruction.chkUpdates_Click">
      <xdr:nvPicPr>
        <xdr:cNvPr id="204770" name="chkNoUpdatesTrue" descr="check_yes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676525" y="45910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104775</xdr:colOff>
      <xdr:row>94</xdr:row>
      <xdr:rowOff>47625</xdr:rowOff>
    </xdr:from>
    <xdr:to>
      <xdr:col>4</xdr:col>
      <xdr:colOff>257175</xdr:colOff>
      <xdr:row>95</xdr:row>
      <xdr:rowOff>9525</xdr:rowOff>
    </xdr:to>
    <xdr:pic macro="[0]!Instruction.chkUpdates_Click">
      <xdr:nvPicPr>
        <xdr:cNvPr id="204771" name="chkGetUpdatesFalse" descr="check_no.pn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76525" y="45910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98</xdr:row>
      <xdr:rowOff>0</xdr:rowOff>
    </xdr:from>
    <xdr:to>
      <xdr:col>5</xdr:col>
      <xdr:colOff>123825</xdr:colOff>
      <xdr:row>100</xdr:row>
      <xdr:rowOff>38100</xdr:rowOff>
    </xdr:to>
    <xdr:pic macro="[0]!Instruction.cmdGetUpdate_Click">
      <xdr:nvPicPr>
        <xdr:cNvPr id="204772" name="cmdGetUpdateImg" descr="icon11.png" hidden="1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571750" y="459105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98</xdr:row>
      <xdr:rowOff>0</xdr:rowOff>
    </xdr:from>
    <xdr:to>
      <xdr:col>11</xdr:col>
      <xdr:colOff>123825</xdr:colOff>
      <xdr:row>100</xdr:row>
      <xdr:rowOff>38100</xdr:rowOff>
    </xdr:to>
    <xdr:pic macro="[0]!Instruction.cmdShowHideUpdateLog_Click">
      <xdr:nvPicPr>
        <xdr:cNvPr id="204773" name="cmdShowHideUpdateLogImg" descr="icon13.png" hidden="1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4352925" y="459105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371780</xdr:colOff>
      <xdr:row>2</xdr:row>
      <xdr:rowOff>9392</xdr:rowOff>
    </xdr:from>
    <xdr:to>
      <xdr:col>2</xdr:col>
      <xdr:colOff>1467906</xdr:colOff>
      <xdr:row>2</xdr:row>
      <xdr:rowOff>223955</xdr:rowOff>
    </xdr:to>
    <xdr:sp macro="" textlink="">
      <xdr:nvSpPr>
        <xdr:cNvPr id="35" name="cmdAct_1"/>
        <xdr:cNvSpPr txBox="1">
          <a:spLocks noChangeArrowheads="1"/>
        </xdr:cNvSpPr>
      </xdr:nvSpPr>
      <xdr:spPr bwMode="auto">
        <a:xfrm>
          <a:off x="1171880" y="352292"/>
          <a:ext cx="1096126" cy="214563"/>
        </a:xfrm>
        <a:prstGeom prst="rect">
          <a:avLst/>
        </a:prstGeom>
        <a:solidFill>
          <a:srgbClr val="CCFFCC"/>
        </a:solidFill>
        <a:ln>
          <a:noFill/>
        </a:ln>
      </xdr:spPr>
      <xdr:txBody>
        <a:bodyPr vertOverflow="clip" wrap="square" lIns="360000" tIns="36000" rIns="36000" bIns="36000" anchor="ctr"/>
        <a:lstStyle/>
        <a:p>
          <a:pPr marL="0" indent="0" algn="l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352425</xdr:colOff>
      <xdr:row>1</xdr:row>
      <xdr:rowOff>114300</xdr:rowOff>
    </xdr:from>
    <xdr:to>
      <xdr:col>2</xdr:col>
      <xdr:colOff>638175</xdr:colOff>
      <xdr:row>3</xdr:row>
      <xdr:rowOff>57150</xdr:rowOff>
    </xdr:to>
    <xdr:pic>
      <xdr:nvPicPr>
        <xdr:cNvPr id="204775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152525" y="247650"/>
          <a:ext cx="2857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403860</xdr:colOff>
      <xdr:row>2</xdr:row>
      <xdr:rowOff>9525</xdr:rowOff>
    </xdr:from>
    <xdr:to>
      <xdr:col>4</xdr:col>
      <xdr:colOff>272150</xdr:colOff>
      <xdr:row>2</xdr:row>
      <xdr:rowOff>219075</xdr:rowOff>
    </xdr:to>
    <xdr:sp macro="[0]!Instruction.cmdGetUpdate_Click" textlink="">
      <xdr:nvSpPr>
        <xdr:cNvPr id="37" name="cmdNoAct_1" hidden="1"/>
        <xdr:cNvSpPr txBox="1">
          <a:spLocks noChangeArrowheads="1"/>
        </xdr:cNvSpPr>
      </xdr:nvSpPr>
      <xdr:spPr bwMode="auto">
        <a:xfrm>
          <a:off x="1203960" y="352425"/>
          <a:ext cx="1639940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419100</xdr:colOff>
      <xdr:row>1</xdr:row>
      <xdr:rowOff>200025</xdr:rowOff>
    </xdr:from>
    <xdr:to>
      <xdr:col>2</xdr:col>
      <xdr:colOff>666750</xdr:colOff>
      <xdr:row>3</xdr:row>
      <xdr:rowOff>9525</xdr:rowOff>
    </xdr:to>
    <xdr:sp macro="" textlink="">
      <xdr:nvSpPr>
        <xdr:cNvPr id="204777" name="cmdNoAct_2" descr="icon16.png" hidden="1"/>
        <xdr:cNvSpPr>
          <a:spLocks noChangeAspect="1"/>
        </xdr:cNvSpPr>
      </xdr:nvSpPr>
      <xdr:spPr bwMode="auto">
        <a:xfrm>
          <a:off x="1219200" y="333375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250916</xdr:colOff>
      <xdr:row>2</xdr:row>
      <xdr:rowOff>3612</xdr:rowOff>
    </xdr:from>
    <xdr:to>
      <xdr:col>4</xdr:col>
      <xdr:colOff>179635</xdr:colOff>
      <xdr:row>2</xdr:row>
      <xdr:rowOff>219612</xdr:rowOff>
    </xdr:to>
    <xdr:sp macro="" textlink="">
      <xdr:nvSpPr>
        <xdr:cNvPr id="39" name="cmdNoInet_1" hidden="1"/>
        <xdr:cNvSpPr txBox="1">
          <a:spLocks noChangeArrowheads="1"/>
        </xdr:cNvSpPr>
      </xdr:nvSpPr>
      <xdr:spPr bwMode="auto">
        <a:xfrm>
          <a:off x="1051016" y="346512"/>
          <a:ext cx="1700369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247650</xdr:colOff>
      <xdr:row>1</xdr:row>
      <xdr:rowOff>136963</xdr:rowOff>
    </xdr:from>
    <xdr:ext cx="233236" cy="374141"/>
    <xdr:sp macro="" textlink="">
      <xdr:nvSpPr>
        <xdr:cNvPr id="40" name="cmdNoInet_2" hidden="1"/>
        <xdr:cNvSpPr txBox="1"/>
      </xdr:nvSpPr>
      <xdr:spPr>
        <a:xfrm>
          <a:off x="1047750" y="270313"/>
          <a:ext cx="23323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0</xdr:col>
      <xdr:colOff>76200</xdr:colOff>
      <xdr:row>0</xdr:row>
      <xdr:rowOff>68580</xdr:rowOff>
    </xdr:from>
    <xdr:to>
      <xdr:col>25</xdr:col>
      <xdr:colOff>346718</xdr:colOff>
      <xdr:row>109</xdr:row>
      <xdr:rowOff>76200</xdr:rowOff>
    </xdr:to>
    <xdr:sp macro="" textlink="">
      <xdr:nvSpPr>
        <xdr:cNvPr id="42" name="Скругленный прямоугольник 41"/>
        <xdr:cNvSpPr/>
      </xdr:nvSpPr>
      <xdr:spPr>
        <a:xfrm>
          <a:off x="76200" y="68580"/>
          <a:ext cx="9052568" cy="5008245"/>
        </a:xfrm>
        <a:prstGeom prst="roundRect">
          <a:avLst>
            <a:gd name="adj" fmla="val 0"/>
          </a:avLst>
        </a:prstGeom>
        <a:noFill/>
        <a:ln w="3175"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 editAs="oneCell">
    <xdr:from>
      <xdr:col>18</xdr:col>
      <xdr:colOff>47625</xdr:colOff>
      <xdr:row>1</xdr:row>
      <xdr:rowOff>47625</xdr:rowOff>
    </xdr:from>
    <xdr:to>
      <xdr:col>25</xdr:col>
      <xdr:colOff>6821</xdr:colOff>
      <xdr:row>2</xdr:row>
      <xdr:rowOff>152400</xdr:rowOff>
    </xdr:to>
    <xdr:sp macro="[0]!Instruction.cmdRegionChange_Click" textlink="">
      <xdr:nvSpPr>
        <xdr:cNvPr id="47" name="cmdRegionChange" hidden="1"/>
        <xdr:cNvSpPr/>
      </xdr:nvSpPr>
      <xdr:spPr>
        <a:xfrm>
          <a:off x="6762750" y="180975"/>
          <a:ext cx="2026121" cy="31432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</a:t>
          </a:r>
        </a:p>
      </xdr:txBody>
    </xdr:sp>
    <xdr:clientData/>
  </xdr:twoCellAnchor>
  <xdr:twoCellAnchor>
    <xdr:from>
      <xdr:col>23</xdr:col>
      <xdr:colOff>266700</xdr:colOff>
      <xdr:row>69</xdr:row>
      <xdr:rowOff>85725</xdr:rowOff>
    </xdr:from>
    <xdr:to>
      <xdr:col>24</xdr:col>
      <xdr:colOff>180975</xdr:colOff>
      <xdr:row>69</xdr:row>
      <xdr:rowOff>314325</xdr:rowOff>
    </xdr:to>
    <xdr:pic>
      <xdr:nvPicPr>
        <xdr:cNvPr id="204782" name="PAGE_LAST_INACTIVE" descr="tick_circle_3887.png" hidden="1"/>
        <xdr:cNvPicPr>
          <a:picLocks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8458200" y="4591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95250</xdr:colOff>
      <xdr:row>69</xdr:row>
      <xdr:rowOff>85725</xdr:rowOff>
    </xdr:from>
    <xdr:to>
      <xdr:col>20</xdr:col>
      <xdr:colOff>19050</xdr:colOff>
      <xdr:row>69</xdr:row>
      <xdr:rowOff>304800</xdr:rowOff>
    </xdr:to>
    <xdr:pic>
      <xdr:nvPicPr>
        <xdr:cNvPr id="204783" name="PAGE_FIRST_INACTIVE" descr="tick_circle_3887.png" hidden="1"/>
        <xdr:cNvPicPr>
          <a:picLocks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7105650" y="4591050"/>
          <a:ext cx="219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28575</xdr:colOff>
      <xdr:row>69</xdr:row>
      <xdr:rowOff>57150</xdr:rowOff>
    </xdr:from>
    <xdr:to>
      <xdr:col>20</xdr:col>
      <xdr:colOff>285750</xdr:colOff>
      <xdr:row>69</xdr:row>
      <xdr:rowOff>314325</xdr:rowOff>
    </xdr:to>
    <xdr:pic>
      <xdr:nvPicPr>
        <xdr:cNvPr id="204784" name="PAGE_BACK_INACTIVE" descr="tick_circle_3887.png" hidden="1"/>
        <xdr:cNvPicPr>
          <a:picLocks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7334250" y="459105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69</xdr:row>
      <xdr:rowOff>57150</xdr:rowOff>
    </xdr:from>
    <xdr:to>
      <xdr:col>23</xdr:col>
      <xdr:colOff>257175</xdr:colOff>
      <xdr:row>69</xdr:row>
      <xdr:rowOff>314325</xdr:rowOff>
    </xdr:to>
    <xdr:pic>
      <xdr:nvPicPr>
        <xdr:cNvPr id="204785" name="PAGE_NEXT_INACTIVE" descr="tick_circle_3887.png" hidden="1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8191500" y="459105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12700</xdr:colOff>
      <xdr:row>69</xdr:row>
      <xdr:rowOff>88900</xdr:rowOff>
    </xdr:from>
    <xdr:to>
      <xdr:col>22</xdr:col>
      <xdr:colOff>266065</xdr:colOff>
      <xdr:row>69</xdr:row>
      <xdr:rowOff>294640</xdr:rowOff>
    </xdr:to>
    <xdr:sp macro="" textlink="">
      <xdr:nvSpPr>
        <xdr:cNvPr id="70" name="PAGE_NUMBER_AREA" hidden="1"/>
        <xdr:cNvSpPr>
          <a:spLocks noChangeArrowheads="1"/>
        </xdr:cNvSpPr>
      </xdr:nvSpPr>
      <xdr:spPr bwMode="auto">
        <a:xfrm>
          <a:off x="7613650" y="1279525"/>
          <a:ext cx="548640" cy="205740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7F7F7F"/>
          </a:solidFill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27432" tIns="22860" rIns="27432" bIns="2286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1/5</a:t>
          </a:r>
        </a:p>
      </xdr:txBody>
    </xdr:sp>
    <xdr:clientData/>
  </xdr:twoCellAnchor>
  <xdr:twoCellAnchor>
    <xdr:from>
      <xdr:col>23</xdr:col>
      <xdr:colOff>276225</xdr:colOff>
      <xdr:row>69</xdr:row>
      <xdr:rowOff>85725</xdr:rowOff>
    </xdr:from>
    <xdr:to>
      <xdr:col>24</xdr:col>
      <xdr:colOff>190500</xdr:colOff>
      <xdr:row>69</xdr:row>
      <xdr:rowOff>304800</xdr:rowOff>
    </xdr:to>
    <xdr:pic macro="[0]!modInstruction.Process_Page_Last">
      <xdr:nvPicPr>
        <xdr:cNvPr id="204787" name="PAGE_LAST" descr="tick_circle_3887.png" hidden="1"/>
        <xdr:cNvPicPr>
          <a:picLocks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8467725" y="45910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85725</xdr:colOff>
      <xdr:row>69</xdr:row>
      <xdr:rowOff>76200</xdr:rowOff>
    </xdr:from>
    <xdr:to>
      <xdr:col>20</xdr:col>
      <xdr:colOff>9525</xdr:colOff>
      <xdr:row>69</xdr:row>
      <xdr:rowOff>295275</xdr:rowOff>
    </xdr:to>
    <xdr:pic macro="[0]!modInstruction.Process_Page_First">
      <xdr:nvPicPr>
        <xdr:cNvPr id="204788" name="PAGE_FIRST" descr="tick_circle_3887.png" hidden="1"/>
        <xdr:cNvPicPr>
          <a:picLocks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7096125" y="4591050"/>
          <a:ext cx="219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19050</xdr:colOff>
      <xdr:row>69</xdr:row>
      <xdr:rowOff>57150</xdr:rowOff>
    </xdr:from>
    <xdr:to>
      <xdr:col>20</xdr:col>
      <xdr:colOff>276225</xdr:colOff>
      <xdr:row>69</xdr:row>
      <xdr:rowOff>314325</xdr:rowOff>
    </xdr:to>
    <xdr:pic macro="[0]!modInstruction.Process_Page_Back">
      <xdr:nvPicPr>
        <xdr:cNvPr id="204789" name="PAGE_BACK" descr="tick_circle_3887.png" hidden="1"/>
        <xdr:cNvPicPr>
          <a:picLocks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7324725" y="459105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9525</xdr:colOff>
      <xdr:row>69</xdr:row>
      <xdr:rowOff>66675</xdr:rowOff>
    </xdr:from>
    <xdr:to>
      <xdr:col>23</xdr:col>
      <xdr:colOff>266700</xdr:colOff>
      <xdr:row>69</xdr:row>
      <xdr:rowOff>323850</xdr:rowOff>
    </xdr:to>
    <xdr:pic macro="[0]!modInstruction.Process_Page_Next">
      <xdr:nvPicPr>
        <xdr:cNvPr id="204790" name="PAGE_NEXT" descr="tick_circle_3887.png" hidden="1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8201025" y="459105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2" name="cmdClearLog"/>
        <xdr:cNvSpPr/>
      </xdr:nvSpPr>
      <xdr:spPr>
        <a:xfrm>
          <a:off x="10622280" y="106680"/>
          <a:ext cx="1323975" cy="32575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29</xdr:row>
      <xdr:rowOff>57104</xdr:rowOff>
    </xdr:from>
    <xdr:to>
      <xdr:col>18</xdr:col>
      <xdr:colOff>1009650</xdr:colOff>
      <xdr:row>30</xdr:row>
      <xdr:rowOff>209549</xdr:rowOff>
    </xdr:to>
    <xdr:sp macro="[0]!FUEL_TOTAL.cmdUpdateCALC201x_Click" textlink="">
      <xdr:nvSpPr>
        <xdr:cNvPr id="8" name="cmdUpdatePLAN1XData"/>
        <xdr:cNvSpPr/>
      </xdr:nvSpPr>
      <xdr:spPr>
        <a:xfrm>
          <a:off x="180975" y="4972004"/>
          <a:ext cx="5667375" cy="43819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данные мониторинга 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"</a:t>
          </a: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Плановые показатели организаций  теплоснабжения на 201</a:t>
          </a:r>
          <a:r>
            <a:rPr lang="en-US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4</a:t>
          </a: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год</a:t>
          </a:r>
          <a:r>
            <a:rPr lang="en-US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"</a:t>
          </a:r>
          <a:endParaRPr lang="ru-RU" sz="9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 editAs="oneCell">
    <xdr:from>
      <xdr:col>14</xdr:col>
      <xdr:colOff>19050</xdr:colOff>
      <xdr:row>5</xdr:row>
      <xdr:rowOff>19050</xdr:rowOff>
    </xdr:from>
    <xdr:to>
      <xdr:col>14</xdr:col>
      <xdr:colOff>390525</xdr:colOff>
      <xdr:row>6</xdr:row>
      <xdr:rowOff>152400</xdr:rowOff>
    </xdr:to>
    <xdr:pic macro="[0]!FUEL_TOTAL.cmdFreezePanes_Click">
      <xdr:nvPicPr>
        <xdr:cNvPr id="54363" name="cmdFreezePanes" descr="update_org.png"/>
        <xdr:cNvPicPr>
          <a:picLocks noChangeAspect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00025" y="704850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6</xdr:row>
      <xdr:rowOff>114300</xdr:rowOff>
    </xdr:from>
    <xdr:to>
      <xdr:col>7</xdr:col>
      <xdr:colOff>142875</xdr:colOff>
      <xdr:row>8</xdr:row>
      <xdr:rowOff>95250</xdr:rowOff>
    </xdr:to>
    <xdr:pic macro="[0]!LOST_INCOME.cmdFreezePanes_Click">
      <xdr:nvPicPr>
        <xdr:cNvPr id="155736" name="cmdFreezePanes" descr="update_org.png"/>
        <xdr:cNvPicPr>
          <a:picLocks noChangeAspect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71450" y="114300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8</xdr:row>
      <xdr:rowOff>226218</xdr:rowOff>
    </xdr:from>
    <xdr:to>
      <xdr:col>18</xdr:col>
      <xdr:colOff>0</xdr:colOff>
      <xdr:row>9</xdr:row>
      <xdr:rowOff>440530</xdr:rowOff>
    </xdr:to>
    <xdr:sp macro="[0]!LOST_INCOME.cmdUpdatePLAN1XData_Click" textlink="">
      <xdr:nvSpPr>
        <xdr:cNvPr id="6" name="cmdUpdatePreviousData"/>
        <xdr:cNvSpPr/>
      </xdr:nvSpPr>
      <xdr:spPr>
        <a:xfrm>
          <a:off x="738188" y="607218"/>
          <a:ext cx="4833937" cy="440531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и актуализировать данные мониторинга плановых показателей организаций ТС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142874</xdr:colOff>
      <xdr:row>9</xdr:row>
      <xdr:rowOff>19050</xdr:rowOff>
    </xdr:from>
    <xdr:to>
      <xdr:col>28</xdr:col>
      <xdr:colOff>1037163</xdr:colOff>
      <xdr:row>36</xdr:row>
      <xdr:rowOff>104775</xdr:rowOff>
    </xdr:to>
    <xdr:sp macro="[0]!FUEL.cmdUpdatePreviousPeriodData_Click" textlink="">
      <xdr:nvSpPr>
        <xdr:cNvPr id="7" name="cmdUpdatePreviousData"/>
        <xdr:cNvSpPr/>
      </xdr:nvSpPr>
      <xdr:spPr>
        <a:xfrm>
          <a:off x="3931707" y="262467"/>
          <a:ext cx="1889123" cy="392641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и актуализировать данные предыдущего мониторинга</a:t>
          </a:r>
        </a:p>
      </xdr:txBody>
    </xdr:sp>
    <xdr:clientData/>
  </xdr:twoCellAnchor>
  <xdr:twoCellAnchor editAs="oneCell">
    <xdr:from>
      <xdr:col>6</xdr:col>
      <xdr:colOff>9525</xdr:colOff>
      <xdr:row>41</xdr:row>
      <xdr:rowOff>409575</xdr:rowOff>
    </xdr:from>
    <xdr:to>
      <xdr:col>7</xdr:col>
      <xdr:colOff>19050</xdr:colOff>
      <xdr:row>43</xdr:row>
      <xdr:rowOff>57150</xdr:rowOff>
    </xdr:to>
    <xdr:pic macro="[0]!FUEL.ShowFuelHelp">
      <xdr:nvPicPr>
        <xdr:cNvPr id="102791" name="ExcludeHelp" descr="help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1771650"/>
          <a:ext cx="3238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4</xdr:row>
      <xdr:rowOff>123825</xdr:rowOff>
    </xdr:from>
    <xdr:to>
      <xdr:col>7</xdr:col>
      <xdr:colOff>142875</xdr:colOff>
      <xdr:row>10</xdr:row>
      <xdr:rowOff>0</xdr:rowOff>
    </xdr:to>
    <xdr:pic macro="[0]!FUEL.cmdFreezePanes_Click">
      <xdr:nvPicPr>
        <xdr:cNvPr id="102792" name="cmdFreezePanes" descr="update_org.png"/>
        <xdr:cNvPicPr>
          <a:picLocks noChangeAspect="1"/>
        </xdr:cNvPicPr>
      </xdr:nvPicPr>
      <xdr:blipFill>
        <a:blip xmlns:r="http://schemas.openxmlformats.org/officeDocument/2006/relationships" r:embed="rId2">
          <a:grayscl/>
        </a:blip>
        <a:srcRect/>
        <a:stretch>
          <a:fillRect/>
        </a:stretch>
      </xdr:blipFill>
      <xdr:spPr bwMode="auto">
        <a:xfrm>
          <a:off x="171450" y="38100"/>
          <a:ext cx="371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333374</xdr:colOff>
      <xdr:row>7</xdr:row>
      <xdr:rowOff>107155</xdr:rowOff>
    </xdr:from>
    <xdr:to>
      <xdr:col>9</xdr:col>
      <xdr:colOff>801412</xdr:colOff>
      <xdr:row>7</xdr:row>
      <xdr:rowOff>434756</xdr:rowOff>
    </xdr:to>
    <xdr:sp macro="[0]!SVOD.cmdLoadFolder_Click" textlink="">
      <xdr:nvSpPr>
        <xdr:cNvPr id="7" name="cmdLoadFolder"/>
        <xdr:cNvSpPr/>
      </xdr:nvSpPr>
      <xdr:spPr>
        <a:xfrm>
          <a:off x="9267824" y="935830"/>
          <a:ext cx="2439713" cy="327601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Выгрузить данные из папки</a:t>
          </a:r>
        </a:p>
      </xdr:txBody>
    </xdr:sp>
    <xdr:clientData/>
  </xdr:twoCellAnchor>
  <xdr:twoCellAnchor editAs="absolute">
    <xdr:from>
      <xdr:col>7</xdr:col>
      <xdr:colOff>357188</xdr:colOff>
      <xdr:row>9</xdr:row>
      <xdr:rowOff>119062</xdr:rowOff>
    </xdr:from>
    <xdr:to>
      <xdr:col>9</xdr:col>
      <xdr:colOff>825226</xdr:colOff>
      <xdr:row>9</xdr:row>
      <xdr:rowOff>446662</xdr:rowOff>
    </xdr:to>
    <xdr:sp macro="[0]!SVOD.cmdLoadSingleFile_Click" textlink="">
      <xdr:nvSpPr>
        <xdr:cNvPr id="8" name="cmdLoadSingleFile"/>
        <xdr:cNvSpPr/>
      </xdr:nvSpPr>
      <xdr:spPr>
        <a:xfrm>
          <a:off x="9291638" y="1938337"/>
          <a:ext cx="2439713" cy="32760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Добавить данные из файла</a:t>
          </a:r>
        </a:p>
      </xdr:txBody>
    </xdr:sp>
    <xdr:clientData/>
  </xdr:twoCellAnchor>
  <xdr:twoCellAnchor editAs="absolute">
    <xdr:from>
      <xdr:col>2</xdr:col>
      <xdr:colOff>35719</xdr:colOff>
      <xdr:row>8</xdr:row>
      <xdr:rowOff>59533</xdr:rowOff>
    </xdr:from>
    <xdr:to>
      <xdr:col>4</xdr:col>
      <xdr:colOff>384694</xdr:colOff>
      <xdr:row>8</xdr:row>
      <xdr:rowOff>387132</xdr:rowOff>
    </xdr:to>
    <xdr:sp macro="[0]!SVOD.cmdSearchFolder_Click" textlink="">
      <xdr:nvSpPr>
        <xdr:cNvPr id="9" name="cmdSearchFolder"/>
        <xdr:cNvSpPr/>
      </xdr:nvSpPr>
      <xdr:spPr>
        <a:xfrm>
          <a:off x="3731419" y="1421608"/>
          <a:ext cx="2444475" cy="327599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Обзор папок...</a:t>
          </a:r>
        </a:p>
      </xdr:txBody>
    </xdr:sp>
    <xdr:clientData/>
  </xdr:twoCellAnchor>
  <xdr:twoCellAnchor editAs="absolute">
    <xdr:from>
      <xdr:col>4</xdr:col>
      <xdr:colOff>642937</xdr:colOff>
      <xdr:row>8</xdr:row>
      <xdr:rowOff>59532</xdr:rowOff>
    </xdr:from>
    <xdr:to>
      <xdr:col>6</xdr:col>
      <xdr:colOff>991912</xdr:colOff>
      <xdr:row>8</xdr:row>
      <xdr:rowOff>387131</xdr:rowOff>
    </xdr:to>
    <xdr:sp macro="[0]!SVOD.cmdCreateFilesList_Click" textlink="">
      <xdr:nvSpPr>
        <xdr:cNvPr id="10" name="cmdCreateFileList"/>
        <xdr:cNvSpPr/>
      </xdr:nvSpPr>
      <xdr:spPr>
        <a:xfrm>
          <a:off x="6434137" y="1421607"/>
          <a:ext cx="2444475" cy="327599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файлов папки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7</xdr:row>
      <xdr:rowOff>38101</xdr:rowOff>
    </xdr:from>
    <xdr:to>
      <xdr:col>5</xdr:col>
      <xdr:colOff>2686050</xdr:colOff>
      <xdr:row>7</xdr:row>
      <xdr:rowOff>257175</xdr:rowOff>
    </xdr:to>
    <xdr:sp macro="[0]!SHEET_COMS.UPDATE_COMMENTS" textlink="">
      <xdr:nvSpPr>
        <xdr:cNvPr id="2" name="cmdUpdateComments"/>
        <xdr:cNvSpPr/>
      </xdr:nvSpPr>
      <xdr:spPr>
        <a:xfrm>
          <a:off x="390525" y="114301"/>
          <a:ext cx="2657475" cy="21907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Комментарии предыдущих периодов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files/shablon/manual_loading_through_monitoring.pdf" TargetMode="External"/><Relationship Id="rId13" Type="http://schemas.openxmlformats.org/officeDocument/2006/relationships/hyperlink" Target="http://eiasfst.ru/?page=show_templates" TargetMode="External"/><Relationship Id="rId3" Type="http://schemas.openxmlformats.org/officeDocument/2006/relationships/hyperlink" Target="http://eiasfst.ru/?page=show_templates" TargetMode="External"/><Relationship Id="rId7" Type="http://schemas.openxmlformats.org/officeDocument/2006/relationships/hyperlink" Target="http://eias.ru/files/shablon/manual_loading_through_monitoring.pdf" TargetMode="External"/><Relationship Id="rId12" Type="http://schemas.openxmlformats.org/officeDocument/2006/relationships/hyperlink" Target="http://support.eias.ru/index.php?a=add&amp;catid=44" TargetMode="External"/><Relationship Id="rId2" Type="http://schemas.openxmlformats.org/officeDocument/2006/relationships/hyperlink" Target="http://www.fstrf.ru/regions/region/showlist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eiasfst.ru/?page=show_templates" TargetMode="External"/><Relationship Id="rId11" Type="http://schemas.openxmlformats.org/officeDocument/2006/relationships/hyperlink" Target="http://support.eias.ru/index.php?a=add&amp;catid=44" TargetMode="External"/><Relationship Id="rId5" Type="http://schemas.openxmlformats.org/officeDocument/2006/relationships/hyperlink" Target="http://support.eias.ru/index.php?a=add&amp;catid=4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eiasfst.ru/?page=show_templates" TargetMode="External"/><Relationship Id="rId4" Type="http://schemas.openxmlformats.org/officeDocument/2006/relationships/hyperlink" Target="http://support.eias.ru/index.php?a=add&amp;catid=44" TargetMode="External"/><Relationship Id="rId9" Type="http://schemas.openxmlformats.org/officeDocument/2006/relationships/hyperlink" Target="http://eiasfst.ru/?page=show_templates" TargetMode="External"/><Relationship Id="rId14" Type="http://schemas.openxmlformats.org/officeDocument/2006/relationships/hyperlink" Target="http://eiasfst.ru/?page=show_distrs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1.doc"/><Relationship Id="rId7" Type="http://schemas.openxmlformats.org/officeDocument/2006/relationships/oleObject" Target="../embeddings/_________Microsoft_Office_Word_97_-_20035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_________Microsoft_Office_Word_97_-_20034.doc"/><Relationship Id="rId5" Type="http://schemas.openxmlformats.org/officeDocument/2006/relationships/oleObject" Target="../embeddings/_________Microsoft_Office_Word_97_-_20033.doc"/><Relationship Id="rId4" Type="http://schemas.openxmlformats.org/officeDocument/2006/relationships/oleObject" Target="../embeddings/_________Microsoft_Office_Word_97_-_20032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4" Type="http://schemas.openxmlformats.org/officeDocument/2006/relationships/control" Target="../activeX/activeX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omments" Target="../comments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7.xml"/><Relationship Id="rId5" Type="http://schemas.openxmlformats.org/officeDocument/2006/relationships/control" Target="../activeX/activeX6.xml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Instruction"/>
  <dimension ref="A1:AC108"/>
  <sheetViews>
    <sheetView showGridLines="0" workbookViewId="0">
      <selection activeCell="AD13" sqref="AD13"/>
    </sheetView>
  </sheetViews>
  <sheetFormatPr defaultRowHeight="14.25"/>
  <cols>
    <col min="1" max="1" width="3.28515625" style="296" customWidth="1"/>
    <col min="2" max="2" width="8.7109375" style="296" customWidth="1"/>
    <col min="3" max="3" width="22.28515625" style="296" customWidth="1"/>
    <col min="4" max="4" width="4.28515625" style="296" customWidth="1"/>
    <col min="5" max="6" width="4.42578125" style="296" customWidth="1"/>
    <col min="7" max="7" width="4.5703125" style="296" customWidth="1"/>
    <col min="8" max="24" width="4.42578125" style="296" customWidth="1"/>
    <col min="25" max="25" width="4.42578125" style="297" customWidth="1"/>
    <col min="26" max="26" width="9.140625" style="296"/>
    <col min="27" max="27" width="9.140625" style="298"/>
    <col min="28" max="16384" width="9.140625" style="296"/>
  </cols>
  <sheetData>
    <row r="1" spans="1:29" ht="10.5" customHeight="1">
      <c r="A1"/>
      <c r="AA1" s="298" t="s">
        <v>1883</v>
      </c>
    </row>
    <row r="2" spans="1:29" ht="16.5" customHeight="1">
      <c r="B2" s="385" t="e">
        <f ca="1">"Код шаблона: " &amp; GetCode()</f>
        <v>#NAME?</v>
      </c>
      <c r="C2" s="385"/>
      <c r="D2" s="385"/>
      <c r="E2" s="385"/>
      <c r="F2" s="385"/>
      <c r="G2" s="385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300"/>
      <c r="W2" s="299"/>
      <c r="X2" s="299"/>
    </row>
    <row r="3" spans="1:29" ht="18" customHeight="1">
      <c r="B3" s="386" t="e">
        <f ca="1">"Версия " &amp; GetVersion()</f>
        <v>#NAME?</v>
      </c>
      <c r="C3" s="386"/>
      <c r="D3" s="301"/>
      <c r="E3" s="301"/>
      <c r="F3" s="301"/>
      <c r="G3" s="301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299"/>
      <c r="T3" s="299"/>
      <c r="U3" s="299"/>
      <c r="V3" s="300"/>
      <c r="W3" s="300"/>
      <c r="X3" s="300"/>
      <c r="Y3" s="300"/>
    </row>
    <row r="4" spans="1:29" ht="6" customHeight="1">
      <c r="B4" s="302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</row>
    <row r="5" spans="1:29" ht="31.9" customHeight="1">
      <c r="A5" s="303"/>
      <c r="B5" s="387" t="str">
        <f>"Информация о фактически сложившихся ценах и объёмах потребления топлива по итогам " &amp; CURRENT_PRD &amp;  " " &amp; god &amp; " года"</f>
        <v>Информация о фактически сложившихся ценах и объёмах потребления топлива по итогам 12 месяцев 2014 года</v>
      </c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  <c r="X5" s="388"/>
      <c r="Y5" s="389"/>
      <c r="Z5" s="303"/>
      <c r="AB5" s="303"/>
      <c r="AC5" s="303"/>
    </row>
    <row r="6" spans="1:29" ht="11.45" customHeight="1">
      <c r="A6" s="304"/>
      <c r="B6" s="305"/>
      <c r="C6" s="306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7"/>
    </row>
    <row r="7" spans="1:29" ht="18" customHeight="1">
      <c r="A7" s="304"/>
      <c r="B7" s="304"/>
      <c r="C7" s="308"/>
      <c r="D7" s="305"/>
      <c r="E7" s="390" t="s">
        <v>22</v>
      </c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07"/>
    </row>
    <row r="8" spans="1:29" ht="15" customHeight="1">
      <c r="A8" s="304"/>
      <c r="B8" s="304"/>
      <c r="C8" s="308"/>
      <c r="D8" s="305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  <c r="Y8" s="307"/>
    </row>
    <row r="9" spans="1:29" ht="15" customHeight="1">
      <c r="A9" s="304"/>
      <c r="B9" s="304"/>
      <c r="C9" s="308"/>
      <c r="D9" s="305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07"/>
    </row>
    <row r="10" spans="1:29" ht="10.5" customHeight="1">
      <c r="A10" s="304"/>
      <c r="B10" s="304"/>
      <c r="C10" s="308"/>
      <c r="D10" s="305"/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390"/>
      <c r="R10" s="390"/>
      <c r="S10" s="390"/>
      <c r="T10" s="390"/>
      <c r="U10" s="390"/>
      <c r="V10" s="390"/>
      <c r="W10" s="390"/>
      <c r="X10" s="390"/>
      <c r="Y10" s="307"/>
    </row>
    <row r="11" spans="1:29" ht="27" customHeight="1">
      <c r="A11" s="304"/>
      <c r="B11" s="304"/>
      <c r="C11" s="308"/>
      <c r="D11" s="305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  <c r="P11" s="390"/>
      <c r="Q11" s="390"/>
      <c r="R11" s="390"/>
      <c r="S11" s="390"/>
      <c r="T11" s="390"/>
      <c r="U11" s="390"/>
      <c r="V11" s="390"/>
      <c r="W11" s="390"/>
      <c r="X11" s="390"/>
      <c r="Y11" s="307"/>
    </row>
    <row r="12" spans="1:29" ht="12" customHeight="1">
      <c r="A12" s="304"/>
      <c r="B12" s="304"/>
      <c r="C12" s="308"/>
      <c r="D12" s="305"/>
      <c r="E12" s="390"/>
      <c r="F12" s="390"/>
      <c r="G12" s="390"/>
      <c r="H12" s="390"/>
      <c r="I12" s="390"/>
      <c r="J12" s="390"/>
      <c r="K12" s="390"/>
      <c r="L12" s="390"/>
      <c r="M12" s="390"/>
      <c r="N12" s="390"/>
      <c r="O12" s="390"/>
      <c r="P12" s="390"/>
      <c r="Q12" s="390"/>
      <c r="R12" s="390"/>
      <c r="S12" s="390"/>
      <c r="T12" s="390"/>
      <c r="U12" s="390"/>
      <c r="V12" s="390"/>
      <c r="W12" s="390"/>
      <c r="X12" s="390"/>
      <c r="Y12" s="307"/>
    </row>
    <row r="13" spans="1:29" ht="38.25" customHeight="1">
      <c r="A13" s="304"/>
      <c r="B13" s="304"/>
      <c r="C13" s="308"/>
      <c r="D13" s="305"/>
      <c r="E13" s="390"/>
      <c r="F13" s="390"/>
      <c r="G13" s="390"/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X13" s="390"/>
      <c r="Y13" s="309"/>
    </row>
    <row r="14" spans="1:29" ht="15" customHeight="1">
      <c r="A14" s="304"/>
      <c r="B14" s="304"/>
      <c r="C14" s="308"/>
      <c r="D14" s="305"/>
      <c r="E14" s="390"/>
      <c r="F14" s="390"/>
      <c r="G14" s="390"/>
      <c r="H14" s="390"/>
      <c r="I14" s="390"/>
      <c r="J14" s="390"/>
      <c r="K14" s="390"/>
      <c r="L14" s="390"/>
      <c r="M14" s="390"/>
      <c r="N14" s="390"/>
      <c r="O14" s="390"/>
      <c r="P14" s="390"/>
      <c r="Q14" s="390"/>
      <c r="R14" s="390"/>
      <c r="S14" s="390"/>
      <c r="T14" s="390"/>
      <c r="U14" s="390"/>
      <c r="V14" s="390"/>
      <c r="W14" s="390"/>
      <c r="X14" s="390"/>
      <c r="Y14" s="307"/>
    </row>
    <row r="15" spans="1:29" ht="15">
      <c r="A15" s="304"/>
      <c r="B15" s="304"/>
      <c r="C15" s="308"/>
      <c r="D15" s="305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07"/>
    </row>
    <row r="16" spans="1:29" ht="15">
      <c r="A16" s="304"/>
      <c r="B16" s="304"/>
      <c r="C16" s="308"/>
      <c r="D16" s="305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90"/>
      <c r="W16" s="390"/>
      <c r="X16" s="390"/>
      <c r="Y16" s="307"/>
    </row>
    <row r="17" spans="1:25" ht="15" customHeight="1">
      <c r="A17" s="304"/>
      <c r="B17" s="304"/>
      <c r="C17" s="308"/>
      <c r="D17" s="305"/>
      <c r="E17" s="390"/>
      <c r="F17" s="390"/>
      <c r="G17" s="390"/>
      <c r="H17" s="390"/>
      <c r="I17" s="390"/>
      <c r="J17" s="390"/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  <c r="W17" s="390"/>
      <c r="X17" s="390"/>
      <c r="Y17" s="307"/>
    </row>
    <row r="18" spans="1:25" ht="15">
      <c r="A18" s="304"/>
      <c r="B18" s="304"/>
      <c r="C18" s="308"/>
      <c r="D18" s="305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  <c r="X18" s="390"/>
      <c r="Y18" s="307"/>
    </row>
    <row r="19" spans="1:25" ht="57" customHeight="1">
      <c r="A19" s="304"/>
      <c r="B19" s="304"/>
      <c r="C19" s="308"/>
      <c r="D19" s="308"/>
      <c r="E19" s="390"/>
      <c r="F19" s="390"/>
      <c r="G19" s="390"/>
      <c r="H19" s="390"/>
      <c r="I19" s="390"/>
      <c r="J19" s="390"/>
      <c r="K19" s="390"/>
      <c r="L19" s="390"/>
      <c r="M19" s="390"/>
      <c r="N19" s="390"/>
      <c r="O19" s="390"/>
      <c r="P19" s="390"/>
      <c r="Q19" s="390"/>
      <c r="R19" s="390"/>
      <c r="S19" s="390"/>
      <c r="T19" s="390"/>
      <c r="U19" s="390"/>
      <c r="V19" s="390"/>
      <c r="W19" s="390"/>
      <c r="X19" s="390"/>
      <c r="Y19" s="307"/>
    </row>
    <row r="20" spans="1:25" ht="15" hidden="1">
      <c r="A20" s="304"/>
      <c r="B20" s="304"/>
      <c r="C20" s="308"/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08"/>
      <c r="S20" s="308"/>
      <c r="T20" s="308"/>
      <c r="U20" s="308"/>
      <c r="V20" s="308"/>
      <c r="W20" s="308"/>
      <c r="X20" s="308"/>
      <c r="Y20" s="307"/>
    </row>
    <row r="21" spans="1:25" ht="14.25" hidden="1" customHeight="1">
      <c r="A21" s="304"/>
      <c r="B21" s="304"/>
      <c r="C21" s="308"/>
      <c r="D21" s="305"/>
      <c r="E21" s="310" t="s">
        <v>1884</v>
      </c>
      <c r="F21" s="380" t="s">
        <v>1885</v>
      </c>
      <c r="G21" s="381"/>
      <c r="H21" s="381"/>
      <c r="I21" s="381"/>
      <c r="J21" s="381"/>
      <c r="K21" s="381"/>
      <c r="L21" s="381"/>
      <c r="M21" s="381"/>
      <c r="N21" s="305"/>
      <c r="O21" s="311" t="s">
        <v>1884</v>
      </c>
      <c r="P21" s="382" t="s">
        <v>1886</v>
      </c>
      <c r="Q21" s="383"/>
      <c r="R21" s="383"/>
      <c r="S21" s="383"/>
      <c r="T21" s="383"/>
      <c r="U21" s="383"/>
      <c r="V21" s="383"/>
      <c r="W21" s="383"/>
      <c r="X21" s="383"/>
      <c r="Y21" s="307"/>
    </row>
    <row r="22" spans="1:25" ht="14.45" hidden="1" customHeight="1">
      <c r="A22" s="304"/>
      <c r="B22" s="304"/>
      <c r="C22" s="308"/>
      <c r="D22" s="305"/>
      <c r="E22" s="312" t="s">
        <v>1884</v>
      </c>
      <c r="F22" s="380" t="s">
        <v>1887</v>
      </c>
      <c r="G22" s="381"/>
      <c r="H22" s="381"/>
      <c r="I22" s="381"/>
      <c r="J22" s="381"/>
      <c r="K22" s="381"/>
      <c r="L22" s="381"/>
      <c r="M22" s="381"/>
      <c r="N22" s="305"/>
      <c r="O22" s="313" t="s">
        <v>1884</v>
      </c>
      <c r="P22" s="382" t="s">
        <v>1888</v>
      </c>
      <c r="Q22" s="383"/>
      <c r="R22" s="383"/>
      <c r="S22" s="383"/>
      <c r="T22" s="383"/>
      <c r="U22" s="383"/>
      <c r="V22" s="383"/>
      <c r="W22" s="383"/>
      <c r="X22" s="383"/>
      <c r="Y22" s="307"/>
    </row>
    <row r="23" spans="1:25" ht="27" hidden="1" customHeight="1">
      <c r="A23" s="304"/>
      <c r="B23" s="304"/>
      <c r="C23" s="308"/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7"/>
    </row>
    <row r="24" spans="1:25" ht="10.5" hidden="1" customHeight="1">
      <c r="A24" s="304"/>
      <c r="B24" s="304"/>
      <c r="C24" s="308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7"/>
    </row>
    <row r="25" spans="1:25" ht="27" hidden="1" customHeight="1">
      <c r="A25" s="304"/>
      <c r="B25" s="304"/>
      <c r="C25" s="308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7"/>
    </row>
    <row r="26" spans="1:25" ht="12" hidden="1" customHeight="1">
      <c r="A26" s="304"/>
      <c r="B26" s="304"/>
      <c r="C26" s="308"/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7"/>
    </row>
    <row r="27" spans="1:25" ht="31.5" hidden="1" customHeight="1">
      <c r="A27" s="304"/>
      <c r="B27" s="304"/>
      <c r="C27" s="308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7"/>
    </row>
    <row r="28" spans="1:25" ht="15" hidden="1">
      <c r="A28" s="304"/>
      <c r="B28" s="304"/>
      <c r="C28" s="308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7"/>
    </row>
    <row r="29" spans="1:25" ht="15" hidden="1">
      <c r="A29" s="304"/>
      <c r="B29" s="304"/>
      <c r="C29" s="308"/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7"/>
    </row>
    <row r="30" spans="1:25" ht="15" hidden="1">
      <c r="A30" s="304"/>
      <c r="B30" s="304"/>
      <c r="C30" s="308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7"/>
    </row>
    <row r="31" spans="1:25" ht="15" hidden="1">
      <c r="A31" s="304"/>
      <c r="B31" s="304"/>
      <c r="C31" s="308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7"/>
    </row>
    <row r="32" spans="1:25" ht="15" hidden="1">
      <c r="A32" s="304"/>
      <c r="B32" s="304"/>
      <c r="C32" s="308"/>
      <c r="D32" s="305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7"/>
    </row>
    <row r="33" spans="1:25" ht="26.45" hidden="1" customHeight="1">
      <c r="A33" s="304"/>
      <c r="B33" s="304"/>
      <c r="C33" s="308"/>
      <c r="D33" s="308"/>
      <c r="E33" s="308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8"/>
      <c r="Y33" s="307"/>
    </row>
    <row r="34" spans="1:25" ht="15" hidden="1">
      <c r="A34" s="304"/>
      <c r="B34" s="304"/>
      <c r="C34" s="308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8"/>
      <c r="W34" s="308"/>
      <c r="X34" s="308"/>
      <c r="Y34" s="307"/>
    </row>
    <row r="35" spans="1:25" ht="24" hidden="1" customHeight="1">
      <c r="A35" s="304"/>
      <c r="B35" s="304"/>
      <c r="C35" s="308"/>
      <c r="D35" s="305"/>
      <c r="E35" s="384" t="s">
        <v>1</v>
      </c>
      <c r="F35" s="384"/>
      <c r="G35" s="384"/>
      <c r="H35" s="384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07"/>
    </row>
    <row r="36" spans="1:25" ht="38.25" hidden="1" customHeight="1">
      <c r="A36" s="304"/>
      <c r="B36" s="304"/>
      <c r="C36" s="308"/>
      <c r="D36" s="305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07"/>
    </row>
    <row r="37" spans="1:25" ht="9.75" hidden="1" customHeight="1">
      <c r="A37" s="304"/>
      <c r="B37" s="304"/>
      <c r="C37" s="308"/>
      <c r="D37" s="305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07"/>
    </row>
    <row r="38" spans="1:25" ht="51" hidden="1" customHeight="1">
      <c r="A38" s="304"/>
      <c r="B38" s="304"/>
      <c r="C38" s="308"/>
      <c r="D38" s="305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07"/>
    </row>
    <row r="39" spans="1:25" ht="15" hidden="1" customHeight="1">
      <c r="A39" s="304"/>
      <c r="B39" s="304"/>
      <c r="C39" s="308"/>
      <c r="D39" s="305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07"/>
    </row>
    <row r="40" spans="1:25" ht="12" hidden="1" customHeight="1">
      <c r="A40" s="304"/>
      <c r="B40" s="304"/>
      <c r="C40" s="308"/>
      <c r="D40" s="305"/>
      <c r="E40" s="396" t="s">
        <v>2</v>
      </c>
      <c r="F40" s="396"/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6"/>
      <c r="S40" s="396"/>
      <c r="T40" s="396"/>
      <c r="U40" s="396"/>
      <c r="V40" s="396"/>
      <c r="W40" s="396"/>
      <c r="X40" s="396"/>
      <c r="Y40" s="307"/>
    </row>
    <row r="41" spans="1:25" ht="36.75" hidden="1" customHeight="1">
      <c r="A41" s="304"/>
      <c r="B41" s="304"/>
      <c r="C41" s="308"/>
      <c r="D41" s="305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07"/>
    </row>
    <row r="42" spans="1:25" ht="15" hidden="1">
      <c r="A42" s="304"/>
      <c r="B42" s="304"/>
      <c r="C42" s="308"/>
      <c r="D42" s="305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07"/>
    </row>
    <row r="43" spans="1:25" ht="15" hidden="1">
      <c r="A43" s="304"/>
      <c r="B43" s="304"/>
      <c r="C43" s="308"/>
      <c r="D43" s="305"/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384"/>
      <c r="P43" s="384"/>
      <c r="Q43" s="384"/>
      <c r="R43" s="384"/>
      <c r="S43" s="384"/>
      <c r="T43" s="384"/>
      <c r="U43" s="384"/>
      <c r="V43" s="384"/>
      <c r="W43" s="384"/>
      <c r="X43" s="384"/>
      <c r="Y43" s="307"/>
    </row>
    <row r="44" spans="1:25" ht="36.6" hidden="1" customHeight="1">
      <c r="A44" s="304"/>
      <c r="B44" s="304"/>
      <c r="C44" s="308"/>
      <c r="D44" s="308"/>
      <c r="E44" s="384"/>
      <c r="F44" s="384"/>
      <c r="G44" s="384"/>
      <c r="H44" s="384"/>
      <c r="I44" s="384"/>
      <c r="J44" s="384"/>
      <c r="K44" s="384"/>
      <c r="L44" s="384"/>
      <c r="M44" s="384"/>
      <c r="N44" s="384"/>
      <c r="O44" s="384"/>
      <c r="P44" s="384"/>
      <c r="Q44" s="384"/>
      <c r="R44" s="384"/>
      <c r="S44" s="384"/>
      <c r="T44" s="384"/>
      <c r="U44" s="384"/>
      <c r="V44" s="384"/>
      <c r="W44" s="384"/>
      <c r="X44" s="384"/>
      <c r="Y44" s="307"/>
    </row>
    <row r="45" spans="1:25" ht="15" hidden="1">
      <c r="A45" s="304"/>
      <c r="B45" s="304"/>
      <c r="C45" s="308"/>
      <c r="D45" s="308"/>
      <c r="E45" s="384"/>
      <c r="F45" s="384"/>
      <c r="G45" s="384"/>
      <c r="H45" s="384"/>
      <c r="I45" s="384"/>
      <c r="J45" s="384"/>
      <c r="K45" s="384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07"/>
    </row>
    <row r="46" spans="1:25" ht="24" hidden="1" customHeight="1">
      <c r="A46" s="304"/>
      <c r="B46" s="304"/>
      <c r="C46" s="308"/>
      <c r="D46" s="305"/>
      <c r="E46" s="390" t="s">
        <v>3</v>
      </c>
      <c r="F46" s="390"/>
      <c r="G46" s="390"/>
      <c r="H46" s="390"/>
      <c r="I46" s="390"/>
      <c r="J46" s="390"/>
      <c r="K46" s="390"/>
      <c r="L46" s="390"/>
      <c r="M46" s="390"/>
      <c r="N46" s="390"/>
      <c r="O46" s="390"/>
      <c r="P46" s="390"/>
      <c r="Q46" s="390"/>
      <c r="R46" s="390"/>
      <c r="S46" s="390"/>
      <c r="T46" s="390"/>
      <c r="U46" s="390"/>
      <c r="V46" s="390"/>
      <c r="W46" s="390"/>
      <c r="X46" s="390"/>
      <c r="Y46" s="307"/>
    </row>
    <row r="47" spans="1:25" ht="37.5" hidden="1" customHeight="1">
      <c r="A47" s="304"/>
      <c r="B47" s="304"/>
      <c r="C47" s="308"/>
      <c r="D47" s="305"/>
      <c r="E47" s="390"/>
      <c r="F47" s="390"/>
      <c r="G47" s="390"/>
      <c r="H47" s="390"/>
      <c r="I47" s="390"/>
      <c r="J47" s="390"/>
      <c r="K47" s="390"/>
      <c r="L47" s="390"/>
      <c r="M47" s="390"/>
      <c r="N47" s="390"/>
      <c r="O47" s="390"/>
      <c r="P47" s="390"/>
      <c r="Q47" s="390"/>
      <c r="R47" s="390"/>
      <c r="S47" s="390"/>
      <c r="T47" s="390"/>
      <c r="U47" s="390"/>
      <c r="V47" s="390"/>
      <c r="W47" s="390"/>
      <c r="X47" s="390"/>
      <c r="Y47" s="307"/>
    </row>
    <row r="48" spans="1:25" ht="24" hidden="1" customHeight="1">
      <c r="A48" s="304"/>
      <c r="B48" s="304"/>
      <c r="C48" s="308"/>
      <c r="D48" s="305"/>
      <c r="E48" s="390"/>
      <c r="F48" s="390"/>
      <c r="G48" s="390"/>
      <c r="H48" s="390"/>
      <c r="I48" s="390"/>
      <c r="J48" s="390"/>
      <c r="K48" s="390"/>
      <c r="L48" s="390"/>
      <c r="M48" s="390"/>
      <c r="N48" s="390"/>
      <c r="O48" s="390"/>
      <c r="P48" s="390"/>
      <c r="Q48" s="390"/>
      <c r="R48" s="390"/>
      <c r="S48" s="390"/>
      <c r="T48" s="390"/>
      <c r="U48" s="390"/>
      <c r="V48" s="390"/>
      <c r="W48" s="390"/>
      <c r="X48" s="390"/>
      <c r="Y48" s="307"/>
    </row>
    <row r="49" spans="1:25" ht="51" hidden="1" customHeight="1">
      <c r="A49" s="304"/>
      <c r="B49" s="304"/>
      <c r="C49" s="308"/>
      <c r="D49" s="305"/>
      <c r="E49" s="390"/>
      <c r="F49" s="390"/>
      <c r="G49" s="390"/>
      <c r="H49" s="390"/>
      <c r="I49" s="390"/>
      <c r="J49" s="390"/>
      <c r="K49" s="390"/>
      <c r="L49" s="390"/>
      <c r="M49" s="390"/>
      <c r="N49" s="390"/>
      <c r="O49" s="390"/>
      <c r="P49" s="390"/>
      <c r="Q49" s="390"/>
      <c r="R49" s="390"/>
      <c r="S49" s="390"/>
      <c r="T49" s="390"/>
      <c r="U49" s="390"/>
      <c r="V49" s="390"/>
      <c r="W49" s="390"/>
      <c r="X49" s="390"/>
      <c r="Y49" s="307"/>
    </row>
    <row r="50" spans="1:25" ht="15" hidden="1">
      <c r="A50" s="304"/>
      <c r="B50" s="304"/>
      <c r="C50" s="308"/>
      <c r="D50" s="305"/>
      <c r="E50" s="390"/>
      <c r="F50" s="390"/>
      <c r="G50" s="390"/>
      <c r="H50" s="390"/>
      <c r="I50" s="390"/>
      <c r="J50" s="390"/>
      <c r="K50" s="390"/>
      <c r="L50" s="390"/>
      <c r="M50" s="390"/>
      <c r="N50" s="390"/>
      <c r="O50" s="390"/>
      <c r="P50" s="390"/>
      <c r="Q50" s="390"/>
      <c r="R50" s="390"/>
      <c r="S50" s="390"/>
      <c r="T50" s="390"/>
      <c r="U50" s="390"/>
      <c r="V50" s="390"/>
      <c r="W50" s="390"/>
      <c r="X50" s="390"/>
      <c r="Y50" s="307"/>
    </row>
    <row r="51" spans="1:25" ht="15" hidden="1">
      <c r="A51" s="304"/>
      <c r="B51" s="304"/>
      <c r="C51" s="308"/>
      <c r="D51" s="305"/>
      <c r="E51" s="390"/>
      <c r="F51" s="390"/>
      <c r="G51" s="390"/>
      <c r="H51" s="390"/>
      <c r="I51" s="390"/>
      <c r="J51" s="390"/>
      <c r="K51" s="390"/>
      <c r="L51" s="390"/>
      <c r="M51" s="390"/>
      <c r="N51" s="390"/>
      <c r="O51" s="390"/>
      <c r="P51" s="390"/>
      <c r="Q51" s="390"/>
      <c r="R51" s="390"/>
      <c r="S51" s="390"/>
      <c r="T51" s="390"/>
      <c r="U51" s="390"/>
      <c r="V51" s="390"/>
      <c r="W51" s="390"/>
      <c r="X51" s="390"/>
      <c r="Y51" s="307"/>
    </row>
    <row r="52" spans="1:25" ht="15" hidden="1">
      <c r="A52" s="304"/>
      <c r="B52" s="304"/>
      <c r="C52" s="308"/>
      <c r="D52" s="305"/>
      <c r="E52" s="390"/>
      <c r="F52" s="390"/>
      <c r="G52" s="390"/>
      <c r="H52" s="390"/>
      <c r="I52" s="390"/>
      <c r="J52" s="390"/>
      <c r="K52" s="390"/>
      <c r="L52" s="390"/>
      <c r="M52" s="390"/>
      <c r="N52" s="390"/>
      <c r="O52" s="390"/>
      <c r="P52" s="390"/>
      <c r="Q52" s="390"/>
      <c r="R52" s="390"/>
      <c r="S52" s="390"/>
      <c r="T52" s="390"/>
      <c r="U52" s="390"/>
      <c r="V52" s="390"/>
      <c r="W52" s="390"/>
      <c r="X52" s="390"/>
      <c r="Y52" s="307"/>
    </row>
    <row r="53" spans="1:25" ht="15" hidden="1">
      <c r="A53" s="304"/>
      <c r="B53" s="304"/>
      <c r="C53" s="308"/>
      <c r="D53" s="305"/>
      <c r="E53" s="390"/>
      <c r="F53" s="390"/>
      <c r="G53" s="390"/>
      <c r="H53" s="390"/>
      <c r="I53" s="390"/>
      <c r="J53" s="390"/>
      <c r="K53" s="390"/>
      <c r="L53" s="390"/>
      <c r="M53" s="390"/>
      <c r="N53" s="390"/>
      <c r="O53" s="390"/>
      <c r="P53" s="390"/>
      <c r="Q53" s="390"/>
      <c r="R53" s="390"/>
      <c r="S53" s="390"/>
      <c r="T53" s="390"/>
      <c r="U53" s="390"/>
      <c r="V53" s="390"/>
      <c r="W53" s="390"/>
      <c r="X53" s="390"/>
      <c r="Y53" s="307"/>
    </row>
    <row r="54" spans="1:25" ht="15" hidden="1">
      <c r="A54" s="304"/>
      <c r="B54" s="304"/>
      <c r="C54" s="308"/>
      <c r="D54" s="305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07"/>
    </row>
    <row r="55" spans="1:25" ht="15" hidden="1">
      <c r="A55" s="304"/>
      <c r="B55" s="304"/>
      <c r="C55" s="308"/>
      <c r="D55" s="305"/>
      <c r="E55" s="390"/>
      <c r="F55" s="390"/>
      <c r="G55" s="390"/>
      <c r="H55" s="390"/>
      <c r="I55" s="390"/>
      <c r="J55" s="390"/>
      <c r="K55" s="390"/>
      <c r="L55" s="390"/>
      <c r="M55" s="390"/>
      <c r="N55" s="390"/>
      <c r="O55" s="390"/>
      <c r="P55" s="390"/>
      <c r="Q55" s="390"/>
      <c r="R55" s="390"/>
      <c r="S55" s="390"/>
      <c r="T55" s="390"/>
      <c r="U55" s="390"/>
      <c r="V55" s="390"/>
      <c r="W55" s="390"/>
      <c r="X55" s="390"/>
      <c r="Y55" s="307"/>
    </row>
    <row r="56" spans="1:25" ht="26.25" hidden="1" customHeight="1">
      <c r="A56" s="304"/>
      <c r="B56" s="304"/>
      <c r="C56" s="308"/>
      <c r="D56" s="308"/>
      <c r="E56" s="390"/>
      <c r="F56" s="390"/>
      <c r="G56" s="390"/>
      <c r="H56" s="390"/>
      <c r="I56" s="390"/>
      <c r="J56" s="390"/>
      <c r="K56" s="390"/>
      <c r="L56" s="390"/>
      <c r="M56" s="390"/>
      <c r="N56" s="390"/>
      <c r="O56" s="390"/>
      <c r="P56" s="390"/>
      <c r="Q56" s="390"/>
      <c r="R56" s="390"/>
      <c r="S56" s="390"/>
      <c r="T56" s="390"/>
      <c r="U56" s="390"/>
      <c r="V56" s="390"/>
      <c r="W56" s="390"/>
      <c r="X56" s="390"/>
      <c r="Y56" s="307"/>
    </row>
    <row r="57" spans="1:25" ht="15" hidden="1">
      <c r="A57" s="304"/>
      <c r="B57" s="304"/>
      <c r="C57" s="308"/>
      <c r="D57" s="308"/>
      <c r="E57" s="390"/>
      <c r="F57" s="390"/>
      <c r="G57" s="390"/>
      <c r="H57" s="390"/>
      <c r="I57" s="390"/>
      <c r="J57" s="390"/>
      <c r="K57" s="390"/>
      <c r="L57" s="390"/>
      <c r="M57" s="390"/>
      <c r="N57" s="390"/>
      <c r="O57" s="390"/>
      <c r="P57" s="390"/>
      <c r="Q57" s="390"/>
      <c r="R57" s="390"/>
      <c r="S57" s="390"/>
      <c r="T57" s="390"/>
      <c r="U57" s="390"/>
      <c r="V57" s="390"/>
      <c r="W57" s="390"/>
      <c r="X57" s="390"/>
      <c r="Y57" s="307"/>
    </row>
    <row r="58" spans="1:25" ht="15" hidden="1" customHeight="1">
      <c r="A58" s="304"/>
      <c r="B58" s="304"/>
      <c r="C58" s="308"/>
      <c r="D58" s="305"/>
      <c r="E58" s="314"/>
      <c r="F58" s="314"/>
      <c r="G58" s="314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07"/>
    </row>
    <row r="59" spans="1:25" ht="15" hidden="1" customHeight="1">
      <c r="A59" s="304"/>
      <c r="B59" s="304"/>
      <c r="C59" s="308"/>
      <c r="D59" s="305"/>
      <c r="E59" s="391" t="s">
        <v>4</v>
      </c>
      <c r="F59" s="391"/>
      <c r="G59" s="391"/>
      <c r="H59" s="391"/>
      <c r="I59" s="391"/>
      <c r="J59" s="391"/>
      <c r="K59" s="397" t="s">
        <v>5</v>
      </c>
      <c r="L59" s="397"/>
      <c r="M59" s="397"/>
      <c r="N59" s="397"/>
      <c r="O59" s="397"/>
      <c r="P59" s="397"/>
      <c r="Q59" s="397"/>
      <c r="R59" s="397"/>
      <c r="S59" s="397"/>
      <c r="T59" s="397"/>
      <c r="U59" s="397"/>
      <c r="V59" s="397"/>
      <c r="W59" s="397"/>
      <c r="X59" s="397"/>
      <c r="Y59" s="307"/>
    </row>
    <row r="60" spans="1:25" ht="15" hidden="1" customHeight="1">
      <c r="A60" s="304"/>
      <c r="B60" s="304"/>
      <c r="C60" s="308"/>
      <c r="D60" s="305"/>
      <c r="E60" s="391" t="s">
        <v>6</v>
      </c>
      <c r="F60" s="391"/>
      <c r="G60" s="391"/>
      <c r="H60" s="391"/>
      <c r="I60" s="391"/>
      <c r="J60" s="391"/>
      <c r="K60" s="392" t="s">
        <v>21</v>
      </c>
      <c r="L60" s="392"/>
      <c r="M60" s="392"/>
      <c r="N60" s="392"/>
      <c r="O60" s="392"/>
      <c r="P60" s="392"/>
      <c r="Q60" s="392"/>
      <c r="R60" s="392"/>
      <c r="S60" s="392"/>
      <c r="T60" s="392"/>
      <c r="U60" s="392"/>
      <c r="V60" s="392"/>
      <c r="W60" s="392"/>
      <c r="X60" s="392"/>
      <c r="Y60" s="307"/>
    </row>
    <row r="61" spans="1:25" ht="15" hidden="1" customHeight="1">
      <c r="A61" s="304"/>
      <c r="B61" s="304"/>
      <c r="C61" s="308"/>
      <c r="D61" s="305"/>
      <c r="E61" s="316"/>
      <c r="F61" s="317"/>
      <c r="G61" s="318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07"/>
    </row>
    <row r="62" spans="1:25" ht="27.75" hidden="1" customHeight="1">
      <c r="A62" s="304"/>
      <c r="B62" s="304"/>
      <c r="C62" s="308"/>
      <c r="D62" s="305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7"/>
    </row>
    <row r="63" spans="1:25" ht="15" hidden="1">
      <c r="A63" s="304"/>
      <c r="B63" s="304"/>
      <c r="C63" s="308"/>
      <c r="D63" s="305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7"/>
    </row>
    <row r="64" spans="1:25" ht="15" hidden="1">
      <c r="A64" s="304"/>
      <c r="B64" s="304"/>
      <c r="C64" s="308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7"/>
    </row>
    <row r="65" spans="1:25" ht="15" hidden="1">
      <c r="A65" s="304"/>
      <c r="B65" s="304"/>
      <c r="C65" s="308"/>
      <c r="D65" s="305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7"/>
    </row>
    <row r="66" spans="1:25" ht="15" hidden="1">
      <c r="A66" s="304"/>
      <c r="B66" s="304"/>
      <c r="C66" s="308"/>
      <c r="D66" s="305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7"/>
    </row>
    <row r="67" spans="1:25" ht="15" hidden="1">
      <c r="A67" s="304"/>
      <c r="B67" s="304"/>
      <c r="C67" s="308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7"/>
    </row>
    <row r="68" spans="1:25" ht="90" hidden="1" customHeight="1">
      <c r="A68" s="304"/>
      <c r="B68" s="304"/>
      <c r="C68" s="308"/>
      <c r="D68" s="308"/>
      <c r="E68" s="308"/>
      <c r="F68" s="308"/>
      <c r="G68" s="308"/>
      <c r="H68" s="308"/>
      <c r="I68" s="308"/>
      <c r="J68" s="308"/>
      <c r="K68" s="308"/>
      <c r="L68" s="308"/>
      <c r="M68" s="308"/>
      <c r="N68" s="308"/>
      <c r="O68" s="308"/>
      <c r="P68" s="308"/>
      <c r="Q68" s="308"/>
      <c r="R68" s="308"/>
      <c r="S68" s="308"/>
      <c r="T68" s="308"/>
      <c r="U68" s="308"/>
      <c r="V68" s="308"/>
      <c r="W68" s="308"/>
      <c r="X68" s="308"/>
      <c r="Y68" s="307"/>
    </row>
    <row r="69" spans="1:25" ht="15" hidden="1">
      <c r="A69" s="304"/>
      <c r="B69" s="304"/>
      <c r="C69" s="308"/>
      <c r="D69" s="308"/>
      <c r="E69" s="308"/>
      <c r="F69" s="308"/>
      <c r="G69" s="308"/>
      <c r="H69" s="308"/>
      <c r="I69" s="308"/>
      <c r="J69" s="308"/>
      <c r="K69" s="308"/>
      <c r="L69" s="308"/>
      <c r="M69" s="308"/>
      <c r="N69" s="308"/>
      <c r="O69" s="308"/>
      <c r="P69" s="308"/>
      <c r="Q69" s="308"/>
      <c r="R69" s="308"/>
      <c r="S69" s="308"/>
      <c r="T69" s="308"/>
      <c r="U69" s="308"/>
      <c r="V69" s="308"/>
      <c r="W69" s="308"/>
      <c r="X69" s="308"/>
      <c r="Y69" s="307"/>
    </row>
    <row r="70" spans="1:25" ht="26.25" hidden="1" customHeight="1">
      <c r="A70" s="304"/>
      <c r="B70" s="304"/>
      <c r="C70" s="308"/>
      <c r="D70" s="305"/>
      <c r="E70" s="319"/>
      <c r="F70" s="319"/>
      <c r="G70" s="319"/>
      <c r="H70" s="319"/>
      <c r="I70" s="319"/>
      <c r="J70" s="319"/>
      <c r="K70" s="319"/>
      <c r="L70" s="319"/>
      <c r="M70" s="319"/>
      <c r="N70" s="319"/>
      <c r="O70" s="319"/>
      <c r="P70" s="319"/>
      <c r="Q70" s="319"/>
      <c r="R70" s="319"/>
      <c r="S70" s="319"/>
      <c r="T70" s="319"/>
      <c r="U70" s="319"/>
      <c r="V70" s="319"/>
      <c r="W70" s="319"/>
      <c r="X70" s="319"/>
      <c r="Y70" s="307"/>
    </row>
    <row r="71" spans="1:25" ht="29.25" hidden="1" customHeight="1">
      <c r="A71" s="304"/>
      <c r="B71" s="304"/>
      <c r="C71" s="308"/>
      <c r="D71" s="305"/>
      <c r="E71" s="319"/>
      <c r="F71" s="319"/>
      <c r="G71" s="319"/>
      <c r="H71" s="319"/>
      <c r="I71" s="319"/>
      <c r="J71" s="319"/>
      <c r="K71" s="319"/>
      <c r="L71" s="319"/>
      <c r="M71" s="319"/>
      <c r="N71" s="319"/>
      <c r="O71" s="319"/>
      <c r="P71" s="319"/>
      <c r="Q71" s="319"/>
      <c r="R71" s="319"/>
      <c r="S71" s="319"/>
      <c r="T71" s="319"/>
      <c r="U71" s="319"/>
      <c r="V71" s="319"/>
      <c r="W71" s="319"/>
      <c r="X71" s="319"/>
      <c r="Y71" s="307"/>
    </row>
    <row r="72" spans="1:25" ht="27" hidden="1" customHeight="1">
      <c r="A72" s="304"/>
      <c r="B72" s="304"/>
      <c r="C72" s="308"/>
      <c r="D72" s="305"/>
      <c r="E72" s="319"/>
      <c r="F72" s="319"/>
      <c r="G72" s="319"/>
      <c r="H72" s="319"/>
      <c r="I72" s="319"/>
      <c r="J72" s="319"/>
      <c r="K72" s="319"/>
      <c r="L72" s="319"/>
      <c r="M72" s="319"/>
      <c r="N72" s="319"/>
      <c r="O72" s="319"/>
      <c r="P72" s="319"/>
      <c r="Q72" s="319"/>
      <c r="R72" s="319"/>
      <c r="S72" s="319"/>
      <c r="T72" s="319"/>
      <c r="U72" s="319"/>
      <c r="V72" s="319"/>
      <c r="W72" s="319"/>
      <c r="X72" s="319"/>
      <c r="Y72" s="307"/>
    </row>
    <row r="73" spans="1:25" ht="38.25" hidden="1" customHeight="1">
      <c r="A73" s="304"/>
      <c r="B73" s="304"/>
      <c r="C73" s="308"/>
      <c r="D73" s="305"/>
      <c r="E73" s="319"/>
      <c r="F73" s="319"/>
      <c r="G73" s="319"/>
      <c r="H73" s="319"/>
      <c r="I73" s="319"/>
      <c r="J73" s="319"/>
      <c r="K73" s="319"/>
      <c r="L73" s="319"/>
      <c r="M73" s="319"/>
      <c r="N73" s="319"/>
      <c r="O73" s="319"/>
      <c r="P73" s="319"/>
      <c r="Q73" s="319"/>
      <c r="R73" s="319"/>
      <c r="S73" s="319"/>
      <c r="T73" s="319"/>
      <c r="U73" s="319"/>
      <c r="V73" s="319"/>
      <c r="W73" s="319"/>
      <c r="X73" s="319"/>
      <c r="Y73" s="307"/>
    </row>
    <row r="74" spans="1:25" ht="15" hidden="1">
      <c r="A74" s="304"/>
      <c r="B74" s="304"/>
      <c r="C74" s="308"/>
      <c r="D74" s="305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07"/>
    </row>
    <row r="75" spans="1:25" ht="132" hidden="1" customHeight="1">
      <c r="A75" s="304"/>
      <c r="B75" s="304"/>
      <c r="C75" s="308"/>
      <c r="D75" s="305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07"/>
    </row>
    <row r="76" spans="1:25" ht="15" hidden="1">
      <c r="A76" s="304"/>
      <c r="B76" s="304"/>
      <c r="C76" s="308"/>
      <c r="D76" s="305"/>
      <c r="E76" s="393"/>
      <c r="F76" s="393"/>
      <c r="G76" s="393"/>
      <c r="H76" s="394"/>
      <c r="I76" s="395"/>
      <c r="J76" s="395"/>
      <c r="K76" s="395"/>
      <c r="L76" s="395"/>
      <c r="M76" s="395"/>
      <c r="N76" s="395"/>
      <c r="O76" s="395"/>
      <c r="P76" s="395"/>
      <c r="Q76" s="395"/>
      <c r="R76" s="395"/>
      <c r="S76" s="395"/>
      <c r="T76" s="395"/>
      <c r="U76" s="395"/>
      <c r="V76" s="395"/>
      <c r="W76" s="395"/>
      <c r="X76" s="395"/>
      <c r="Y76" s="307"/>
    </row>
    <row r="77" spans="1:25" ht="15" hidden="1" customHeight="1">
      <c r="A77" s="304"/>
      <c r="B77" s="304"/>
      <c r="C77" s="308"/>
      <c r="D77" s="305"/>
      <c r="E77" s="391" t="s">
        <v>7</v>
      </c>
      <c r="F77" s="391"/>
      <c r="G77" s="391"/>
      <c r="H77" s="391"/>
      <c r="I77" s="391"/>
      <c r="J77" s="391"/>
      <c r="K77" s="397" t="s">
        <v>5</v>
      </c>
      <c r="L77" s="397"/>
      <c r="M77" s="397"/>
      <c r="N77" s="397"/>
      <c r="O77" s="397"/>
      <c r="P77" s="397"/>
      <c r="Q77" s="397"/>
      <c r="R77" s="397"/>
      <c r="S77" s="397"/>
      <c r="T77" s="397"/>
      <c r="U77" s="397"/>
      <c r="V77" s="397"/>
      <c r="W77" s="397"/>
      <c r="X77" s="397"/>
      <c r="Y77" s="307"/>
    </row>
    <row r="78" spans="1:25" ht="15" hidden="1" customHeight="1">
      <c r="A78" s="304"/>
      <c r="B78" s="304"/>
      <c r="C78" s="308"/>
      <c r="D78" s="305"/>
      <c r="E78" s="391" t="s">
        <v>8</v>
      </c>
      <c r="F78" s="391"/>
      <c r="G78" s="391"/>
      <c r="H78" s="391"/>
      <c r="I78" s="391"/>
      <c r="J78" s="391"/>
      <c r="K78" s="392" t="s">
        <v>21</v>
      </c>
      <c r="L78" s="392"/>
      <c r="M78" s="392"/>
      <c r="N78" s="392"/>
      <c r="O78" s="392"/>
      <c r="P78" s="392"/>
      <c r="Q78" s="392"/>
      <c r="R78" s="392"/>
      <c r="S78" s="392"/>
      <c r="T78" s="392"/>
      <c r="U78" s="392"/>
      <c r="V78" s="392"/>
      <c r="W78" s="392"/>
      <c r="X78" s="392"/>
      <c r="Y78" s="307"/>
    </row>
    <row r="79" spans="1:25" ht="15" hidden="1" customHeight="1">
      <c r="A79" s="304"/>
      <c r="B79" s="304"/>
      <c r="C79" s="308"/>
      <c r="D79" s="305"/>
      <c r="E79" s="391" t="s">
        <v>9</v>
      </c>
      <c r="F79" s="391"/>
      <c r="G79" s="391"/>
      <c r="H79" s="391"/>
      <c r="I79" s="391"/>
      <c r="J79" s="391"/>
      <c r="K79" s="397" t="s">
        <v>10</v>
      </c>
      <c r="L79" s="397"/>
      <c r="M79" s="397"/>
      <c r="N79" s="397"/>
      <c r="O79" s="397"/>
      <c r="P79" s="397"/>
      <c r="Q79" s="397"/>
      <c r="R79" s="397"/>
      <c r="S79" s="397"/>
      <c r="T79" s="397"/>
      <c r="U79" s="397"/>
      <c r="V79" s="397"/>
      <c r="W79" s="397"/>
      <c r="X79" s="397"/>
      <c r="Y79" s="307"/>
    </row>
    <row r="80" spans="1:25" ht="15" hidden="1">
      <c r="A80" s="304"/>
      <c r="B80" s="304"/>
      <c r="C80" s="308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7"/>
    </row>
    <row r="81" spans="1:25" ht="15" hidden="1">
      <c r="A81" s="304"/>
      <c r="B81" s="304"/>
      <c r="C81" s="308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7"/>
    </row>
    <row r="82" spans="1:25" ht="15" hidden="1">
      <c r="A82" s="304"/>
      <c r="B82" s="304"/>
      <c r="C82" s="308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7"/>
    </row>
    <row r="83" spans="1:25" ht="15" hidden="1">
      <c r="A83" s="304"/>
      <c r="B83" s="304"/>
      <c r="C83" s="308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7"/>
    </row>
    <row r="84" spans="1:25" ht="15" hidden="1">
      <c r="A84" s="304"/>
      <c r="B84" s="304"/>
      <c r="C84" s="308"/>
      <c r="D84" s="305"/>
      <c r="E84" s="305"/>
      <c r="F84" s="305"/>
      <c r="G84" s="305"/>
      <c r="H84" s="305"/>
      <c r="I84" s="305"/>
      <c r="J84" s="305"/>
      <c r="K84" s="305"/>
      <c r="L84" s="305"/>
      <c r="M84" s="305"/>
      <c r="N84" s="305"/>
      <c r="O84" s="305"/>
      <c r="P84" s="305"/>
      <c r="Q84" s="305"/>
      <c r="R84" s="305"/>
      <c r="S84" s="305"/>
      <c r="T84" s="305"/>
      <c r="U84" s="305"/>
      <c r="V84" s="305"/>
      <c r="W84" s="305"/>
      <c r="X84" s="305"/>
      <c r="Y84" s="307"/>
    </row>
    <row r="85" spans="1:25" ht="15" hidden="1">
      <c r="A85" s="304"/>
      <c r="B85" s="304"/>
      <c r="C85" s="308"/>
      <c r="D85" s="305"/>
      <c r="E85" s="305"/>
      <c r="F85" s="305"/>
      <c r="G85" s="305"/>
      <c r="H85" s="305"/>
      <c r="I85" s="305"/>
      <c r="J85" s="305"/>
      <c r="K85" s="305"/>
      <c r="L85" s="305"/>
      <c r="M85" s="305"/>
      <c r="N85" s="305"/>
      <c r="O85" s="305"/>
      <c r="P85" s="305"/>
      <c r="Q85" s="305"/>
      <c r="R85" s="305"/>
      <c r="S85" s="305"/>
      <c r="T85" s="305"/>
      <c r="U85" s="305"/>
      <c r="V85" s="305"/>
      <c r="W85" s="305"/>
      <c r="X85" s="305"/>
      <c r="Y85" s="307"/>
    </row>
    <row r="86" spans="1:25" ht="15" hidden="1">
      <c r="A86" s="304"/>
      <c r="B86" s="304"/>
      <c r="C86" s="308"/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7"/>
    </row>
    <row r="87" spans="1:25" ht="15" hidden="1">
      <c r="A87" s="304"/>
      <c r="B87" s="304"/>
      <c r="C87" s="308"/>
      <c r="D87" s="305"/>
      <c r="E87" s="305"/>
      <c r="F87" s="305"/>
      <c r="G87" s="305"/>
      <c r="H87" s="305"/>
      <c r="I87" s="305"/>
      <c r="J87" s="305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305"/>
      <c r="V87" s="305"/>
      <c r="W87" s="305"/>
      <c r="X87" s="305"/>
      <c r="Y87" s="307"/>
    </row>
    <row r="88" spans="1:25" ht="15" hidden="1">
      <c r="A88" s="304"/>
      <c r="B88" s="304"/>
      <c r="C88" s="308"/>
      <c r="D88" s="305"/>
      <c r="E88" s="305"/>
      <c r="F88" s="305"/>
      <c r="G88" s="305"/>
      <c r="H88" s="305"/>
      <c r="I88" s="305"/>
      <c r="J88" s="305"/>
      <c r="K88" s="305"/>
      <c r="L88" s="305"/>
      <c r="M88" s="305"/>
      <c r="N88" s="305"/>
      <c r="O88" s="305"/>
      <c r="P88" s="305"/>
      <c r="Q88" s="305"/>
      <c r="R88" s="305"/>
      <c r="S88" s="305"/>
      <c r="T88" s="305"/>
      <c r="U88" s="305"/>
      <c r="V88" s="305"/>
      <c r="W88" s="305"/>
      <c r="X88" s="305"/>
      <c r="Y88" s="307"/>
    </row>
    <row r="89" spans="1:25" ht="15" hidden="1">
      <c r="A89" s="304"/>
      <c r="B89" s="304"/>
      <c r="C89" s="308"/>
      <c r="D89" s="305"/>
      <c r="E89" s="305"/>
      <c r="F89" s="305"/>
      <c r="G89" s="305"/>
      <c r="H89" s="305"/>
      <c r="I89" s="305"/>
      <c r="J89" s="305"/>
      <c r="K89" s="305"/>
      <c r="L89" s="305"/>
      <c r="M89" s="305"/>
      <c r="N89" s="305"/>
      <c r="O89" s="305"/>
      <c r="P89" s="305"/>
      <c r="Q89" s="305"/>
      <c r="R89" s="305"/>
      <c r="S89" s="305"/>
      <c r="T89" s="305"/>
      <c r="U89" s="305"/>
      <c r="V89" s="305"/>
      <c r="W89" s="305"/>
      <c r="X89" s="305"/>
      <c r="Y89" s="307"/>
    </row>
    <row r="90" spans="1:25" ht="15" hidden="1">
      <c r="A90" s="304"/>
      <c r="B90" s="304"/>
      <c r="C90" s="308"/>
      <c r="D90" s="305"/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305"/>
      <c r="P90" s="305"/>
      <c r="Q90" s="305"/>
      <c r="R90" s="305"/>
      <c r="S90" s="305"/>
      <c r="T90" s="305"/>
      <c r="U90" s="305"/>
      <c r="V90" s="305"/>
      <c r="W90" s="305"/>
      <c r="X90" s="305"/>
      <c r="Y90" s="307"/>
    </row>
    <row r="91" spans="1:25" ht="27.75" hidden="1" customHeight="1">
      <c r="A91" s="304"/>
      <c r="B91" s="304"/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7"/>
    </row>
    <row r="92" spans="1:25" ht="15" hidden="1">
      <c r="A92" s="304"/>
      <c r="B92" s="304"/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7"/>
    </row>
    <row r="93" spans="1:25" ht="25.5" hidden="1" customHeight="1">
      <c r="A93" s="304"/>
      <c r="B93" s="304"/>
      <c r="C93" s="308"/>
      <c r="D93" s="305"/>
      <c r="E93" s="398" t="s">
        <v>11</v>
      </c>
      <c r="F93" s="398"/>
      <c r="G93" s="398"/>
      <c r="H93" s="398"/>
      <c r="I93" s="398"/>
      <c r="J93" s="398"/>
      <c r="K93" s="398"/>
      <c r="L93" s="398"/>
      <c r="M93" s="398"/>
      <c r="N93" s="398"/>
      <c r="O93" s="398"/>
      <c r="P93" s="398"/>
      <c r="Q93" s="398"/>
      <c r="R93" s="398"/>
      <c r="S93" s="398"/>
      <c r="T93" s="398"/>
      <c r="U93" s="398"/>
      <c r="V93" s="398"/>
      <c r="W93" s="398"/>
      <c r="X93" s="398"/>
      <c r="Y93" s="307"/>
    </row>
    <row r="94" spans="1:25" ht="15" hidden="1" customHeight="1">
      <c r="A94" s="304"/>
      <c r="B94" s="304"/>
      <c r="C94" s="308"/>
      <c r="D94" s="305"/>
      <c r="E94" s="305"/>
      <c r="F94" s="305"/>
      <c r="G94" s="305"/>
      <c r="H94" s="321"/>
      <c r="I94" s="321"/>
      <c r="J94" s="321"/>
      <c r="K94" s="321"/>
      <c r="L94" s="321"/>
      <c r="M94" s="321"/>
      <c r="N94" s="321"/>
      <c r="O94" s="322"/>
      <c r="P94" s="322"/>
      <c r="Q94" s="322"/>
      <c r="R94" s="322"/>
      <c r="S94" s="322"/>
      <c r="T94" s="322"/>
      <c r="U94" s="305"/>
      <c r="V94" s="305"/>
      <c r="W94" s="305"/>
      <c r="X94" s="305"/>
      <c r="Y94" s="307"/>
    </row>
    <row r="95" spans="1:25" ht="15" hidden="1" customHeight="1">
      <c r="A95" s="304"/>
      <c r="B95" s="304"/>
      <c r="C95" s="308"/>
      <c r="D95" s="305"/>
      <c r="E95" s="323"/>
      <c r="F95" s="399" t="s">
        <v>12</v>
      </c>
      <c r="G95" s="399"/>
      <c r="H95" s="399"/>
      <c r="I95" s="399"/>
      <c r="J95" s="399"/>
      <c r="K95" s="399"/>
      <c r="L95" s="399"/>
      <c r="M95" s="399"/>
      <c r="N95" s="399"/>
      <c r="O95" s="399"/>
      <c r="P95" s="399"/>
      <c r="Q95" s="399"/>
      <c r="R95" s="399"/>
      <c r="S95" s="399"/>
      <c r="T95" s="322"/>
      <c r="U95" s="305"/>
      <c r="V95" s="305"/>
      <c r="W95" s="305"/>
      <c r="X95" s="305"/>
      <c r="Y95" s="307"/>
    </row>
    <row r="96" spans="1:25" ht="15" hidden="1" customHeight="1">
      <c r="A96" s="304"/>
      <c r="B96" s="304"/>
      <c r="C96" s="308"/>
      <c r="D96" s="305"/>
      <c r="E96" s="305"/>
      <c r="F96" s="305"/>
      <c r="G96" s="305"/>
      <c r="H96" s="321"/>
      <c r="I96" s="321"/>
      <c r="J96" s="321"/>
      <c r="K96" s="321"/>
      <c r="L96" s="321"/>
      <c r="M96" s="321"/>
      <c r="N96" s="321"/>
      <c r="O96" s="322"/>
      <c r="P96" s="322"/>
      <c r="Q96" s="322"/>
      <c r="R96" s="322"/>
      <c r="S96" s="322"/>
      <c r="T96" s="322"/>
      <c r="U96" s="305"/>
      <c r="V96" s="305"/>
      <c r="W96" s="305"/>
      <c r="X96" s="305"/>
      <c r="Y96" s="307"/>
    </row>
    <row r="97" spans="1:27" ht="15" hidden="1">
      <c r="A97" s="304"/>
      <c r="B97" s="304"/>
      <c r="C97" s="308"/>
      <c r="D97" s="305"/>
      <c r="E97" s="305"/>
      <c r="F97" s="399" t="s">
        <v>13</v>
      </c>
      <c r="G97" s="399"/>
      <c r="H97" s="399"/>
      <c r="I97" s="399"/>
      <c r="J97" s="399"/>
      <c r="K97" s="399"/>
      <c r="L97" s="399"/>
      <c r="M97" s="399"/>
      <c r="N97" s="399"/>
      <c r="O97" s="399"/>
      <c r="P97" s="399"/>
      <c r="Q97" s="399"/>
      <c r="R97" s="399"/>
      <c r="S97" s="399"/>
      <c r="T97" s="399"/>
      <c r="U97" s="399"/>
      <c r="V97" s="399"/>
      <c r="W97" s="399"/>
      <c r="X97" s="399"/>
      <c r="Y97" s="307"/>
      <c r="AA97" s="298" t="s">
        <v>14</v>
      </c>
    </row>
    <row r="98" spans="1:27" ht="15" hidden="1">
      <c r="A98" s="304"/>
      <c r="B98" s="304"/>
      <c r="C98" s="308"/>
      <c r="D98" s="305"/>
      <c r="E98" s="305"/>
      <c r="F98" s="305"/>
      <c r="G98" s="305"/>
      <c r="H98" s="305"/>
      <c r="I98" s="305"/>
      <c r="J98" s="305"/>
      <c r="K98" s="305"/>
      <c r="L98" s="305"/>
      <c r="M98" s="305"/>
      <c r="N98" s="305"/>
      <c r="O98" s="305"/>
      <c r="P98" s="305"/>
      <c r="Q98" s="305"/>
      <c r="R98" s="305"/>
      <c r="S98" s="305"/>
      <c r="T98" s="305"/>
      <c r="U98" s="305"/>
      <c r="V98" s="305"/>
      <c r="W98" s="305"/>
      <c r="X98" s="305"/>
      <c r="Y98" s="307"/>
    </row>
    <row r="99" spans="1:27" ht="15" hidden="1">
      <c r="A99" s="304"/>
      <c r="B99" s="304"/>
      <c r="C99" s="308"/>
      <c r="D99" s="305"/>
      <c r="E99" s="305"/>
      <c r="F99" s="305"/>
      <c r="G99" s="305"/>
      <c r="H99" s="305"/>
      <c r="I99" s="305"/>
      <c r="J99" s="305"/>
      <c r="K99" s="305"/>
      <c r="L99" s="305"/>
      <c r="M99" s="305"/>
      <c r="N99" s="305"/>
      <c r="O99" s="305"/>
      <c r="P99" s="305"/>
      <c r="Q99" s="305"/>
      <c r="R99" s="305"/>
      <c r="S99" s="305"/>
      <c r="T99" s="305"/>
      <c r="U99" s="305"/>
      <c r="V99" s="305"/>
      <c r="W99" s="305"/>
      <c r="X99" s="305"/>
      <c r="Y99" s="307"/>
    </row>
    <row r="100" spans="1:27" ht="15" hidden="1">
      <c r="A100" s="304"/>
      <c r="B100" s="304"/>
      <c r="C100" s="308"/>
      <c r="D100" s="305"/>
      <c r="E100" s="305"/>
      <c r="F100" s="305"/>
      <c r="G100" s="305"/>
      <c r="H100" s="305"/>
      <c r="I100" s="305"/>
      <c r="J100" s="305"/>
      <c r="K100" s="305"/>
      <c r="L100" s="305"/>
      <c r="M100" s="305"/>
      <c r="N100" s="305"/>
      <c r="O100" s="305"/>
      <c r="P100" s="305"/>
      <c r="Q100" s="305"/>
      <c r="R100" s="305"/>
      <c r="S100" s="305"/>
      <c r="T100" s="305"/>
      <c r="U100" s="305"/>
      <c r="V100" s="305"/>
      <c r="W100" s="305"/>
      <c r="X100" s="305"/>
      <c r="Y100" s="307"/>
    </row>
    <row r="101" spans="1:27" ht="15" hidden="1">
      <c r="A101" s="304"/>
      <c r="B101" s="304"/>
      <c r="C101" s="308"/>
      <c r="D101" s="305"/>
      <c r="E101" s="305"/>
      <c r="F101" s="305"/>
      <c r="G101" s="305"/>
      <c r="H101" s="305"/>
      <c r="I101" s="305"/>
      <c r="J101" s="305"/>
      <c r="K101" s="305"/>
      <c r="L101" s="305"/>
      <c r="M101" s="305"/>
      <c r="N101" s="305"/>
      <c r="O101" s="305"/>
      <c r="P101" s="305"/>
      <c r="Q101" s="305"/>
      <c r="R101" s="305"/>
      <c r="S101" s="305"/>
      <c r="T101" s="305"/>
      <c r="U101" s="305"/>
      <c r="V101" s="305"/>
      <c r="W101" s="305"/>
      <c r="X101" s="305"/>
      <c r="Y101" s="307"/>
    </row>
    <row r="102" spans="1:27" ht="15" hidden="1">
      <c r="A102" s="304"/>
      <c r="B102" s="304"/>
      <c r="C102" s="308"/>
      <c r="D102" s="305"/>
      <c r="E102" s="305"/>
      <c r="F102" s="305"/>
      <c r="G102" s="305"/>
      <c r="H102" s="305"/>
      <c r="I102" s="305"/>
      <c r="J102" s="305"/>
      <c r="K102" s="305"/>
      <c r="L102" s="305"/>
      <c r="M102" s="305"/>
      <c r="N102" s="305"/>
      <c r="O102" s="305"/>
      <c r="P102" s="305"/>
      <c r="Q102" s="305"/>
      <c r="R102" s="305"/>
      <c r="S102" s="305"/>
      <c r="T102" s="305"/>
      <c r="U102" s="305"/>
      <c r="V102" s="305"/>
      <c r="W102" s="305"/>
      <c r="X102" s="305"/>
      <c r="Y102" s="307"/>
    </row>
    <row r="103" spans="1:27" ht="15" hidden="1">
      <c r="A103" s="304"/>
      <c r="B103" s="304"/>
      <c r="C103" s="308"/>
      <c r="D103" s="305"/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  <c r="O103" s="305"/>
      <c r="P103" s="305"/>
      <c r="Q103" s="305"/>
      <c r="R103" s="305"/>
      <c r="S103" s="305"/>
      <c r="T103" s="305"/>
      <c r="U103" s="305"/>
      <c r="V103" s="305"/>
      <c r="W103" s="305"/>
      <c r="X103" s="305"/>
      <c r="Y103" s="307"/>
    </row>
    <row r="104" spans="1:27" ht="15" hidden="1">
      <c r="A104" s="304"/>
      <c r="B104" s="304"/>
      <c r="C104" s="308"/>
      <c r="D104" s="305"/>
      <c r="E104" s="305"/>
      <c r="F104" s="305"/>
      <c r="G104" s="305"/>
      <c r="H104" s="305"/>
      <c r="I104" s="305"/>
      <c r="J104" s="305"/>
      <c r="K104" s="305"/>
      <c r="L104" s="305"/>
      <c r="M104" s="305"/>
      <c r="N104" s="305"/>
      <c r="O104" s="305"/>
      <c r="P104" s="305"/>
      <c r="Q104" s="305"/>
      <c r="R104" s="305"/>
      <c r="S104" s="305"/>
      <c r="T104" s="305"/>
      <c r="U104" s="305"/>
      <c r="V104" s="305"/>
      <c r="W104" s="305"/>
      <c r="X104" s="305"/>
      <c r="Y104" s="307"/>
    </row>
    <row r="105" spans="1:27" ht="15" hidden="1">
      <c r="A105" s="304"/>
      <c r="B105" s="304"/>
      <c r="C105" s="308"/>
      <c r="D105" s="305"/>
      <c r="E105" s="305"/>
      <c r="F105" s="305"/>
      <c r="G105" s="305"/>
      <c r="H105" s="305"/>
      <c r="I105" s="305"/>
      <c r="J105" s="305"/>
      <c r="K105" s="305"/>
      <c r="L105" s="305"/>
      <c r="M105" s="305"/>
      <c r="N105" s="305"/>
      <c r="O105" s="305"/>
      <c r="P105" s="305"/>
      <c r="Q105" s="305"/>
      <c r="R105" s="305"/>
      <c r="S105" s="305"/>
      <c r="T105" s="305"/>
      <c r="U105" s="305"/>
      <c r="V105" s="305"/>
      <c r="W105" s="305"/>
      <c r="X105" s="305"/>
      <c r="Y105" s="307"/>
    </row>
    <row r="106" spans="1:27" ht="30" hidden="1" customHeight="1">
      <c r="A106" s="304"/>
      <c r="B106" s="304"/>
      <c r="C106" s="308"/>
      <c r="D106" s="305"/>
      <c r="E106" s="305"/>
      <c r="F106" s="305"/>
      <c r="G106" s="305"/>
      <c r="H106" s="305"/>
      <c r="I106" s="305"/>
      <c r="J106" s="305"/>
      <c r="K106" s="305"/>
      <c r="L106" s="305"/>
      <c r="M106" s="305"/>
      <c r="N106" s="305"/>
      <c r="O106" s="305"/>
      <c r="P106" s="305"/>
      <c r="Q106" s="305"/>
      <c r="R106" s="305"/>
      <c r="S106" s="305"/>
      <c r="T106" s="305"/>
      <c r="U106" s="305"/>
      <c r="V106" s="305"/>
      <c r="W106" s="305"/>
      <c r="X106" s="305"/>
      <c r="Y106" s="307"/>
    </row>
    <row r="107" spans="1:27" ht="32.25" hidden="1" customHeight="1">
      <c r="A107" s="304"/>
      <c r="B107" s="304"/>
      <c r="C107" s="308"/>
      <c r="D107" s="305"/>
      <c r="E107" s="305"/>
      <c r="F107" s="305"/>
      <c r="G107" s="305"/>
      <c r="H107" s="305"/>
      <c r="I107" s="305"/>
      <c r="J107" s="305"/>
      <c r="K107" s="305"/>
      <c r="L107" s="305"/>
      <c r="M107" s="305"/>
      <c r="N107" s="305"/>
      <c r="O107" s="305"/>
      <c r="P107" s="305"/>
      <c r="Q107" s="305"/>
      <c r="R107" s="305"/>
      <c r="S107" s="305"/>
      <c r="T107" s="305"/>
      <c r="U107" s="305"/>
      <c r="V107" s="305"/>
      <c r="W107" s="305"/>
      <c r="X107" s="305"/>
      <c r="Y107" s="307"/>
    </row>
    <row r="108" spans="1:27" ht="18" customHeight="1">
      <c r="A108" s="304"/>
      <c r="B108" s="304"/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7"/>
    </row>
  </sheetData>
  <sheetProtection password="FA9C" sheet="1" objects="1" scenarios="1" formatColumns="0" formatRows="0"/>
  <dataConsolidate leftLabels="1"/>
  <mergeCells count="27">
    <mergeCell ref="F95:S95"/>
    <mergeCell ref="F97:X97"/>
    <mergeCell ref="E77:J77"/>
    <mergeCell ref="K77:X77"/>
    <mergeCell ref="E78:J78"/>
    <mergeCell ref="K78:X78"/>
    <mergeCell ref="E79:J79"/>
    <mergeCell ref="K79:X79"/>
    <mergeCell ref="E40:X40"/>
    <mergeCell ref="E41:X45"/>
    <mergeCell ref="E59:J59"/>
    <mergeCell ref="K59:X59"/>
    <mergeCell ref="E93:X93"/>
    <mergeCell ref="E60:J60"/>
    <mergeCell ref="K60:X60"/>
    <mergeCell ref="E46:X57"/>
    <mergeCell ref="E76:G76"/>
    <mergeCell ref="H76:X76"/>
    <mergeCell ref="F22:M22"/>
    <mergeCell ref="P22:X22"/>
    <mergeCell ref="E35:X39"/>
    <mergeCell ref="B2:G2"/>
    <mergeCell ref="B3:C3"/>
    <mergeCell ref="B5:Y5"/>
    <mergeCell ref="E7:X19"/>
    <mergeCell ref="F21:M21"/>
    <mergeCell ref="P21:X21"/>
  </mergeCells>
  <phoneticPr fontId="8" type="noConversion"/>
  <hyperlinks>
    <hyperlink ref="E40" r:id="rId1" location="'Инструкция'!A1"/>
    <hyperlink ref="E40:X40" r:id="rId2" tooltip="http://www.fstrf.ru/regions/region/showlist" display="http://www.fstrf.ru/regions/region/showlist"/>
    <hyperlink ref="K78" r:id="rId3" location="'Инструкция'!A1" display="http://eiasfst.ru/?page=show_templates"/>
    <hyperlink ref="K77" r:id="rId4" location="'Инструкция'!A1" display="http://support.eias.ru/index.php?a=add&amp;catid=44"/>
    <hyperlink ref="J77:X77" r:id="rId5" location="'Инструкция'!A1" display="Обратиться за помощью"/>
    <hyperlink ref="J78:X78" r:id="rId6" location="'Инструкция'!A1" display="Перейти"/>
    <hyperlink ref="K79" r:id="rId7" location="'Инструкция'!A1" display="http://eias.ru/files/shablon/manual_loading_through_monitoring.pdf"/>
    <hyperlink ref="K79:X79" r:id="rId8" tooltip="Руководство по загрузке документов" display="Руководство по загрузке документов"/>
    <hyperlink ref="K78:X78" r:id="rId9" tooltip="Перейти к отчётным формам на eiasfst.ru" display="Перейти к загрузке"/>
    <hyperlink ref="K77:X77" location="'Инструкция'!A1" tooltip="Перейти на support.eias.ru" display="Обратиться за помощью"/>
    <hyperlink ref="K60" r:id="rId10" location="'Инструкция'!A1" display="http://eiasfst.ru/?page=show_templates"/>
    <hyperlink ref="K59" r:id="rId11" location="'Инструкция'!A1" display="http://support.eias.ru/index.php?a=add&amp;catid=44"/>
    <hyperlink ref="J59:X59" r:id="rId12" location="'Инструкция'!A1" display="Обратиться за помощью"/>
    <hyperlink ref="J60:X60" r:id="rId13" location="'Инструкция'!A1" display="Перейти"/>
    <hyperlink ref="K60:X60" r:id="rId14" tooltip="Перейти" display="Перейти к загрузке"/>
    <hyperlink ref="K59:X59" location="Инструкция!A1" tooltip="Перейти на support.eias.ru" display="Обратиться за помощью"/>
  </hyperlinks>
  <pageMargins left="0.7" right="0.7" top="0.75" bottom="0.75" header="0.3" footer="0.3"/>
  <pageSetup paperSize="9" orientation="portrait" horizontalDpi="180" verticalDpi="180" r:id="rId15"/>
  <headerFooter alignWithMargins="0"/>
  <drawing r:id="rId16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VOD"/>
  <dimension ref="A1:U33"/>
  <sheetViews>
    <sheetView showGridLines="0" zoomScale="90" zoomScaleNormal="90" workbookViewId="0"/>
  </sheetViews>
  <sheetFormatPr defaultRowHeight="12" customHeight="1"/>
  <cols>
    <col min="1" max="1" width="4.7109375" style="5" customWidth="1"/>
    <col min="2" max="2" width="50.7109375" style="5" customWidth="1"/>
    <col min="3" max="3" width="15.7109375" style="5" customWidth="1"/>
    <col min="4" max="7" width="15.7109375" style="61" customWidth="1"/>
    <col min="8" max="8" width="20.85546875" style="61" customWidth="1"/>
    <col min="9" max="9" width="8.7109375" style="61" customWidth="1"/>
    <col min="10" max="10" width="12.7109375" style="61" customWidth="1"/>
    <col min="11" max="11" width="9.7109375" style="61" customWidth="1"/>
    <col min="12" max="12" width="30.7109375" style="61" customWidth="1"/>
    <col min="13" max="13" width="15.7109375" style="61" customWidth="1"/>
    <col min="14" max="14" width="25.7109375" style="61" customWidth="1"/>
    <col min="15" max="15" width="35.7109375" style="61" customWidth="1"/>
    <col min="16" max="16" width="15.7109375" style="61" customWidth="1"/>
    <col min="17" max="17" width="2.7109375" style="143" customWidth="1"/>
    <col min="18" max="18" width="15.28515625" style="3" customWidth="1"/>
    <col min="19" max="19" width="9.140625" style="3"/>
    <col min="20" max="21" width="9.140625" style="137"/>
    <col min="22" max="16384" width="9.140625" style="61"/>
  </cols>
  <sheetData>
    <row r="1" spans="1:21" s="5" customFormat="1" ht="3" customHeight="1">
      <c r="A1" s="4"/>
      <c r="B1" s="4"/>
      <c r="C1" s="4"/>
      <c r="Q1" s="134"/>
      <c r="R1" s="3"/>
      <c r="S1" s="3"/>
      <c r="T1" s="3"/>
      <c r="U1" s="3"/>
    </row>
    <row r="2" spans="1:21" s="32" customFormat="1" ht="12" customHeight="1">
      <c r="A2" s="29"/>
      <c r="B2" s="30"/>
      <c r="C2" s="31"/>
      <c r="G2" s="98" t="e">
        <f ca="1">version</f>
        <v>#NAME?</v>
      </c>
      <c r="H2" s="33"/>
    </row>
    <row r="3" spans="1:21" s="37" customFormat="1" ht="3" customHeight="1">
      <c r="A3" s="34"/>
      <c r="B3" s="35"/>
      <c r="C3" s="36"/>
      <c r="F3" s="401"/>
      <c r="G3" s="401"/>
      <c r="H3" s="38"/>
    </row>
    <row r="4" spans="1:21" s="42" customFormat="1" ht="18" customHeight="1">
      <c r="A4" s="39"/>
      <c r="B4" s="403" t="s">
        <v>1868</v>
      </c>
      <c r="C4" s="404"/>
      <c r="D4" s="404"/>
      <c r="E4" s="404"/>
      <c r="F4" s="404"/>
      <c r="G4" s="405"/>
      <c r="H4" s="96" t="s">
        <v>1763</v>
      </c>
    </row>
    <row r="5" spans="1:21" s="42" customFormat="1" ht="5.25" customHeight="1">
      <c r="A5" s="39"/>
      <c r="B5" s="35"/>
      <c r="C5" s="40"/>
      <c r="D5" s="43"/>
      <c r="E5" s="43"/>
      <c r="F5" s="43"/>
      <c r="G5" s="43"/>
      <c r="H5" s="41"/>
    </row>
    <row r="6" spans="1:21" ht="18" customHeight="1">
      <c r="A6" s="4"/>
      <c r="B6" s="504" t="str">
        <f>IF(TOPL_TEMPLATE_MODE="","",TOPL_TEMPLATE_MODE)</f>
        <v>Отчёт заполняется от организации (организаций)</v>
      </c>
      <c r="C6" s="504"/>
      <c r="D6" s="504"/>
      <c r="E6" s="504"/>
      <c r="F6" s="504"/>
      <c r="G6" s="504"/>
      <c r="H6" s="60"/>
      <c r="I6" s="60"/>
      <c r="J6" s="60"/>
      <c r="K6" s="60"/>
      <c r="L6" s="60"/>
      <c r="M6" s="60"/>
      <c r="N6" s="135"/>
      <c r="O6" s="135"/>
      <c r="P6" s="135"/>
      <c r="Q6" s="136"/>
    </row>
    <row r="7" spans="1:21" ht="6" customHeight="1">
      <c r="A7" s="4"/>
      <c r="C7" s="138"/>
      <c r="D7" s="138"/>
      <c r="E7" s="138"/>
      <c r="F7" s="138"/>
      <c r="G7" s="138"/>
      <c r="H7" s="60"/>
      <c r="I7" s="60"/>
      <c r="J7" s="60"/>
      <c r="K7" s="60"/>
      <c r="L7" s="60"/>
      <c r="M7" s="60"/>
      <c r="N7" s="135"/>
      <c r="O7" s="135"/>
      <c r="P7" s="135"/>
      <c r="Q7" s="136"/>
    </row>
    <row r="8" spans="1:21" ht="42" customHeight="1">
      <c r="A8" s="4"/>
      <c r="B8" s="54" t="e">
        <f ca="1">"Укажите, путь до папки в которой размещены отчёты с кодом " &amp; GetTemplateCode()</f>
        <v>#NAME?</v>
      </c>
      <c r="C8" s="503"/>
      <c r="D8" s="503"/>
      <c r="E8" s="503"/>
      <c r="F8" s="503"/>
      <c r="G8" s="503"/>
      <c r="H8" s="60"/>
      <c r="I8" s="60"/>
      <c r="J8" s="60"/>
      <c r="K8" s="60"/>
      <c r="L8" s="60"/>
      <c r="M8" s="60"/>
      <c r="N8" s="6"/>
      <c r="O8" s="6"/>
      <c r="P8" s="6"/>
      <c r="Q8" s="136"/>
    </row>
    <row r="9" spans="1:21" ht="36" customHeight="1">
      <c r="B9" s="139"/>
      <c r="C9" s="53"/>
      <c r="D9" s="60"/>
      <c r="E9" s="60"/>
      <c r="G9" s="138"/>
      <c r="H9" s="138"/>
      <c r="I9" s="138"/>
      <c r="J9" s="138"/>
      <c r="K9" s="138"/>
      <c r="L9" s="138"/>
      <c r="M9" s="138"/>
      <c r="N9" s="138"/>
      <c r="O9" s="138"/>
      <c r="P9" s="140"/>
      <c r="Q9" s="141"/>
    </row>
    <row r="10" spans="1:21" ht="42" customHeight="1">
      <c r="B10" s="55" t="s">
        <v>1869</v>
      </c>
      <c r="C10" s="503"/>
      <c r="D10" s="503"/>
      <c r="E10" s="503"/>
      <c r="F10" s="503"/>
      <c r="G10" s="503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</row>
    <row r="11" spans="1:21" ht="11.25">
      <c r="C11" s="53"/>
      <c r="D11" s="60"/>
      <c r="E11" s="60"/>
      <c r="G11" s="138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</row>
    <row r="12" spans="1:21" ht="11.25">
      <c r="C12" s="53"/>
      <c r="D12" s="60"/>
      <c r="E12" s="60"/>
      <c r="G12" s="138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</row>
    <row r="13" spans="1:21" ht="12.75">
      <c r="B13" s="505" t="s">
        <v>1653</v>
      </c>
      <c r="C13" s="505"/>
      <c r="D13" s="505"/>
      <c r="E13" s="505"/>
      <c r="F13" s="505"/>
      <c r="G13" s="505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</row>
    <row r="14" spans="1:21" ht="12.75">
      <c r="B14" s="501"/>
      <c r="C14" s="501"/>
      <c r="D14" s="501"/>
      <c r="E14" s="501"/>
      <c r="F14" s="501"/>
      <c r="G14" s="501"/>
      <c r="H14" s="60"/>
      <c r="I14" s="60"/>
      <c r="J14" s="60"/>
      <c r="K14" s="60"/>
      <c r="L14" s="60"/>
      <c r="M14" s="60"/>
      <c r="N14" s="60"/>
      <c r="O14" s="60"/>
      <c r="P14" s="60"/>
      <c r="Q14" s="136"/>
    </row>
    <row r="15" spans="1:21" ht="12.75">
      <c r="B15" s="502" t="s">
        <v>1870</v>
      </c>
      <c r="C15" s="502"/>
      <c r="D15" s="502"/>
      <c r="E15" s="502"/>
      <c r="F15" s="502"/>
      <c r="G15" s="502"/>
    </row>
    <row r="16" spans="1:21" ht="27" customHeight="1">
      <c r="B16" s="502" t="s">
        <v>1871</v>
      </c>
      <c r="C16" s="502"/>
      <c r="D16" s="502"/>
      <c r="E16" s="502"/>
      <c r="F16" s="502"/>
      <c r="G16" s="502"/>
      <c r="J16" s="61" t="s">
        <v>1526</v>
      </c>
    </row>
    <row r="17" spans="2:7" ht="12.75">
      <c r="B17" s="502" t="s">
        <v>1750</v>
      </c>
      <c r="C17" s="502"/>
      <c r="D17" s="502"/>
      <c r="E17" s="502"/>
      <c r="F17" s="502"/>
      <c r="G17" s="502"/>
    </row>
    <row r="18" spans="2:7" ht="12.75">
      <c r="B18" s="502"/>
      <c r="C18" s="502"/>
      <c r="D18" s="502"/>
      <c r="E18" s="502"/>
      <c r="F18" s="502"/>
      <c r="G18" s="502"/>
    </row>
    <row r="19" spans="2:7" ht="12.75">
      <c r="B19" s="502" t="s">
        <v>1872</v>
      </c>
      <c r="C19" s="502"/>
      <c r="D19" s="502"/>
      <c r="E19" s="502"/>
      <c r="F19" s="502"/>
      <c r="G19" s="502"/>
    </row>
    <row r="20" spans="2:7" ht="12.75">
      <c r="B20" s="502" t="s">
        <v>1656</v>
      </c>
      <c r="C20" s="502"/>
      <c r="D20" s="502"/>
      <c r="E20" s="502"/>
      <c r="F20" s="502"/>
      <c r="G20" s="502"/>
    </row>
    <row r="21" spans="2:7" ht="12.75">
      <c r="B21" s="502" t="s">
        <v>1751</v>
      </c>
      <c r="C21" s="502"/>
      <c r="D21" s="502"/>
      <c r="E21" s="502"/>
      <c r="F21" s="502"/>
      <c r="G21" s="502"/>
    </row>
    <row r="22" spans="2:7" ht="12.75">
      <c r="B22" s="502" t="s">
        <v>1657</v>
      </c>
      <c r="C22" s="502"/>
      <c r="D22" s="502"/>
      <c r="E22" s="502"/>
      <c r="F22" s="502"/>
      <c r="G22" s="502"/>
    </row>
    <row r="23" spans="2:7" ht="12.75">
      <c r="B23" s="502" t="s">
        <v>1752</v>
      </c>
      <c r="C23" s="502"/>
      <c r="D23" s="502"/>
      <c r="E23" s="502"/>
      <c r="F23" s="502"/>
      <c r="G23" s="502"/>
    </row>
    <row r="24" spans="2:7" ht="12" customHeight="1">
      <c r="B24" s="502"/>
      <c r="C24" s="502"/>
      <c r="D24" s="502"/>
      <c r="E24" s="502"/>
      <c r="F24" s="502"/>
      <c r="G24" s="502"/>
    </row>
    <row r="25" spans="2:7" ht="12" customHeight="1">
      <c r="B25" s="502" t="s">
        <v>1654</v>
      </c>
      <c r="C25" s="502"/>
      <c r="D25" s="502"/>
      <c r="E25" s="502"/>
      <c r="F25" s="502"/>
      <c r="G25" s="502"/>
    </row>
    <row r="26" spans="2:7" ht="45" customHeight="1">
      <c r="B26" s="502" t="s">
        <v>1873</v>
      </c>
      <c r="C26" s="502"/>
      <c r="D26" s="502"/>
      <c r="E26" s="502"/>
      <c r="F26" s="502"/>
      <c r="G26" s="502"/>
    </row>
    <row r="27" spans="2:7" ht="12.75">
      <c r="B27" s="502" t="s">
        <v>1655</v>
      </c>
      <c r="C27" s="502"/>
      <c r="D27" s="502"/>
      <c r="E27" s="502"/>
      <c r="F27" s="502"/>
      <c r="G27" s="502"/>
    </row>
    <row r="28" spans="2:7" ht="12.75">
      <c r="B28" s="506" t="s">
        <v>1876</v>
      </c>
      <c r="C28" s="502"/>
      <c r="D28" s="502"/>
      <c r="E28" s="502"/>
      <c r="F28" s="502"/>
      <c r="G28" s="502"/>
    </row>
    <row r="29" spans="2:7" ht="24" customHeight="1">
      <c r="B29" s="506" t="s">
        <v>1875</v>
      </c>
      <c r="C29" s="502"/>
      <c r="D29" s="502"/>
      <c r="E29" s="502"/>
      <c r="F29" s="502"/>
      <c r="G29" s="502"/>
    </row>
    <row r="30" spans="2:7" ht="12.75">
      <c r="B30" s="506" t="s">
        <v>1877</v>
      </c>
      <c r="C30" s="502"/>
      <c r="D30" s="502"/>
      <c r="E30" s="502"/>
      <c r="F30" s="502"/>
      <c r="G30" s="502"/>
    </row>
    <row r="31" spans="2:7" ht="12" customHeight="1">
      <c r="B31" s="502"/>
      <c r="C31" s="502"/>
      <c r="D31" s="502"/>
      <c r="E31" s="502"/>
      <c r="F31" s="502"/>
      <c r="G31" s="502"/>
    </row>
    <row r="32" spans="2:7" ht="27" customHeight="1">
      <c r="B32" s="502" t="s">
        <v>1874</v>
      </c>
      <c r="C32" s="502"/>
      <c r="D32" s="502"/>
      <c r="E32" s="502"/>
      <c r="F32" s="502"/>
      <c r="G32" s="502"/>
    </row>
    <row r="33" spans="2:2" ht="12" customHeight="1">
      <c r="B33" s="62"/>
    </row>
  </sheetData>
  <sheetProtection password="FA9C" sheet="1" objects="1" scenarios="1" formatColumns="0" formatRows="0"/>
  <mergeCells count="25">
    <mergeCell ref="B32:G32"/>
    <mergeCell ref="B26:G26"/>
    <mergeCell ref="B27:G27"/>
    <mergeCell ref="B28:G28"/>
    <mergeCell ref="B29:G29"/>
    <mergeCell ref="B30:G30"/>
    <mergeCell ref="B31:G31"/>
    <mergeCell ref="B24:G24"/>
    <mergeCell ref="B25:G25"/>
    <mergeCell ref="B16:G16"/>
    <mergeCell ref="B17:G17"/>
    <mergeCell ref="B20:G20"/>
    <mergeCell ref="B21:G21"/>
    <mergeCell ref="B22:G22"/>
    <mergeCell ref="B23:G23"/>
    <mergeCell ref="B19:G19"/>
    <mergeCell ref="B18:G18"/>
    <mergeCell ref="B14:G14"/>
    <mergeCell ref="B15:G15"/>
    <mergeCell ref="F3:G3"/>
    <mergeCell ref="C8:G8"/>
    <mergeCell ref="C10:G10"/>
    <mergeCell ref="B4:G4"/>
    <mergeCell ref="B6:G6"/>
    <mergeCell ref="B13:G13"/>
  </mergeCells>
  <phoneticPr fontId="8" type="noConversion"/>
  <dataValidations count="1">
    <dataValidation type="list" allowBlank="1" showInputMessage="1" showErrorMessage="1" sqref="C10:G10">
      <formula1>ALL_FILES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7">
    <tabColor indexed="45"/>
  </sheetPr>
  <dimension ref="A1:B1"/>
  <sheetViews>
    <sheetView showGridLines="0" zoomScale="90" zoomScaleNormal="90" workbookViewId="0"/>
  </sheetViews>
  <sheetFormatPr defaultRowHeight="11.25"/>
  <cols>
    <col min="1" max="1" width="40.7109375" style="126" customWidth="1"/>
    <col min="2" max="2" width="70.7109375" style="126" customWidth="1"/>
    <col min="3" max="16384" width="9.140625" style="126"/>
  </cols>
  <sheetData>
    <row r="1" spans="1:2" ht="27" customHeight="1">
      <c r="A1" s="242" t="s">
        <v>1749</v>
      </c>
      <c r="B1" s="243" t="s">
        <v>1642</v>
      </c>
    </row>
  </sheetData>
  <sheetProtection password="FA9C" sheet="1" objects="1" scenarios="1"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_COMS">
    <tabColor indexed="31"/>
  </sheetPr>
  <dimension ref="A1:K21"/>
  <sheetViews>
    <sheetView showGridLines="0" topLeftCell="D6" zoomScale="90" zoomScaleNormal="90" workbookViewId="0"/>
  </sheetViews>
  <sheetFormatPr defaultRowHeight="11.25"/>
  <cols>
    <col min="1" max="3" width="0" style="21" hidden="1" customWidth="1"/>
    <col min="4" max="5" width="2.7109375" style="21" customWidth="1"/>
    <col min="6" max="9" width="50.7109375" style="21" customWidth="1"/>
    <col min="10" max="11" width="2.7109375" style="21" customWidth="1"/>
    <col min="12" max="16384" width="9.140625" style="21"/>
  </cols>
  <sheetData>
    <row r="1" spans="1:11" hidden="1"/>
    <row r="2" spans="1:11" hidden="1"/>
    <row r="3" spans="1:11" hidden="1"/>
    <row r="4" spans="1:11" hidden="1"/>
    <row r="5" spans="1:11" hidden="1"/>
    <row r="6" spans="1:11" s="32" customFormat="1" ht="3" customHeight="1">
      <c r="A6" s="29"/>
      <c r="B6" s="30"/>
      <c r="C6" s="31"/>
      <c r="J6" s="98"/>
      <c r="K6" s="33"/>
    </row>
    <row r="7" spans="1:11" s="37" customFormat="1" ht="3" customHeight="1">
      <c r="A7" s="34"/>
      <c r="B7" s="35"/>
      <c r="C7" s="36"/>
      <c r="F7" s="401"/>
      <c r="G7" s="401"/>
      <c r="H7" s="401"/>
      <c r="I7" s="401"/>
      <c r="J7" s="401"/>
      <c r="K7" s="38"/>
    </row>
    <row r="8" spans="1:11" s="42" customFormat="1" ht="24" customHeight="1">
      <c r="A8" s="39"/>
      <c r="B8" s="35"/>
      <c r="C8" s="40"/>
      <c r="E8" s="41"/>
      <c r="F8" s="403" t="s">
        <v>1491</v>
      </c>
      <c r="G8" s="404"/>
      <c r="H8" s="404"/>
      <c r="I8" s="405"/>
      <c r="J8" s="41"/>
      <c r="K8" s="41"/>
    </row>
    <row r="9" spans="1:11" s="42" customFormat="1" ht="6" customHeight="1">
      <c r="A9" s="39"/>
      <c r="B9" s="35"/>
      <c r="C9" s="40"/>
      <c r="D9" s="43"/>
      <c r="E9" s="43"/>
      <c r="F9" s="43"/>
      <c r="G9" s="43"/>
      <c r="H9" s="43"/>
      <c r="I9" s="43"/>
      <c r="J9" s="43"/>
      <c r="K9" s="41"/>
    </row>
    <row r="10" spans="1:11" ht="24" customHeight="1">
      <c r="E10" s="22"/>
      <c r="F10" s="289" t="s">
        <v>1646</v>
      </c>
      <c r="G10" s="289" t="s">
        <v>1733</v>
      </c>
      <c r="H10" s="289" t="s">
        <v>1732</v>
      </c>
      <c r="I10" s="289" t="s">
        <v>1731</v>
      </c>
      <c r="J10" s="22"/>
    </row>
    <row r="11" spans="1:11" ht="33" customHeight="1">
      <c r="E11" s="22"/>
      <c r="F11" s="290" t="s">
        <v>539</v>
      </c>
      <c r="G11" s="290" t="s">
        <v>544</v>
      </c>
      <c r="H11" s="290" t="s">
        <v>547</v>
      </c>
      <c r="I11" s="288"/>
      <c r="J11" s="22"/>
    </row>
    <row r="12" spans="1:11" ht="33" customHeight="1">
      <c r="E12" s="22"/>
      <c r="F12" s="290"/>
      <c r="G12" s="290" t="s">
        <v>545</v>
      </c>
      <c r="H12" s="290" t="s">
        <v>548</v>
      </c>
      <c r="I12" s="125"/>
      <c r="J12" s="22"/>
    </row>
    <row r="13" spans="1:11" ht="33" customHeight="1">
      <c r="E13" s="22"/>
      <c r="F13" s="290"/>
      <c r="G13" s="290"/>
      <c r="H13" s="290"/>
      <c r="I13" s="125"/>
      <c r="J13" s="22"/>
    </row>
    <row r="14" spans="1:11" ht="33" customHeight="1">
      <c r="E14" s="22"/>
      <c r="F14" s="290"/>
      <c r="G14" s="290"/>
      <c r="H14" s="290"/>
      <c r="I14" s="125"/>
      <c r="J14" s="22"/>
    </row>
    <row r="15" spans="1:11" ht="33" customHeight="1">
      <c r="E15" s="22"/>
      <c r="F15" s="290"/>
      <c r="G15" s="290"/>
      <c r="H15" s="290"/>
      <c r="I15" s="125"/>
      <c r="J15" s="22"/>
    </row>
    <row r="16" spans="1:11" ht="33" customHeight="1">
      <c r="E16" s="22"/>
      <c r="F16" s="290"/>
      <c r="G16" s="290"/>
      <c r="H16" s="290"/>
      <c r="I16" s="125"/>
      <c r="J16" s="22"/>
    </row>
    <row r="17" spans="5:10" ht="33" customHeight="1">
      <c r="E17" s="22"/>
      <c r="F17" s="290"/>
      <c r="G17" s="290"/>
      <c r="H17" s="290"/>
      <c r="I17" s="125"/>
      <c r="J17" s="22"/>
    </row>
    <row r="18" spans="5:10" ht="33" customHeight="1">
      <c r="E18" s="22"/>
      <c r="F18" s="290"/>
      <c r="G18" s="290"/>
      <c r="H18" s="290"/>
      <c r="I18" s="125"/>
      <c r="J18" s="22"/>
    </row>
    <row r="19" spans="5:10" ht="33" customHeight="1">
      <c r="E19" s="22"/>
      <c r="F19" s="290"/>
      <c r="G19" s="290"/>
      <c r="H19" s="290"/>
      <c r="I19" s="125"/>
      <c r="J19" s="22"/>
    </row>
    <row r="20" spans="5:10" ht="33" customHeight="1">
      <c r="E20" s="22"/>
      <c r="F20" s="290"/>
      <c r="G20" s="290"/>
      <c r="H20" s="290"/>
      <c r="I20" s="125"/>
      <c r="J20" s="22"/>
    </row>
    <row r="21" spans="5:10">
      <c r="E21" s="22"/>
      <c r="F21" s="22"/>
      <c r="G21" s="22"/>
      <c r="H21" s="22"/>
      <c r="I21" s="22"/>
      <c r="J21" s="22"/>
    </row>
  </sheetData>
  <sheetProtection password="FA9C" sheet="1" objects="1" scenarios="1" formatColumns="0" formatRows="0"/>
  <mergeCells count="2">
    <mergeCell ref="F7:J7"/>
    <mergeCell ref="F8:I8"/>
  </mergeCells>
  <phoneticPr fontId="0" type="noConversion"/>
  <dataValidations count="1">
    <dataValidation type="textLength" operator="lessThan" allowBlank="1" showInputMessage="1" showErrorMessage="1" errorTitle="Ограничение" error="Максимальное количество символов - 1000!" sqref="F11:I20">
      <formula1>1000</formula1>
    </dataValidation>
  </dataValidation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CheckBeforeSave">
    <tabColor indexed="31"/>
  </sheetPr>
  <dimension ref="A1:I459"/>
  <sheetViews>
    <sheetView showGridLines="0" topLeftCell="C8" zoomScale="90" zoomScaleNormal="90" workbookViewId="0"/>
  </sheetViews>
  <sheetFormatPr defaultRowHeight="11.25"/>
  <cols>
    <col min="1" max="2" width="7.7109375" style="58" hidden="1" customWidth="1"/>
    <col min="3" max="3" width="2.7109375" style="58" customWidth="1"/>
    <col min="4" max="4" width="2.7109375" style="126" customWidth="1"/>
    <col min="5" max="6" width="20.7109375" style="127" customWidth="1"/>
    <col min="7" max="7" width="80.7109375" style="128" customWidth="1"/>
    <col min="8" max="8" width="25.7109375" style="127" customWidth="1"/>
    <col min="9" max="10" width="2.7109375" style="126" customWidth="1"/>
    <col min="11" max="16384" width="9.140625" style="126"/>
  </cols>
  <sheetData>
    <row r="1" spans="1:9" hidden="1"/>
    <row r="2" spans="1:9" hidden="1"/>
    <row r="3" spans="1:9" hidden="1"/>
    <row r="4" spans="1:9" hidden="1"/>
    <row r="5" spans="1:9" hidden="1"/>
    <row r="6" spans="1:9" hidden="1"/>
    <row r="7" spans="1:9" hidden="1"/>
    <row r="8" spans="1:9">
      <c r="A8" s="129"/>
      <c r="B8" s="129"/>
      <c r="C8" s="129"/>
      <c r="D8" s="130"/>
      <c r="E8" s="131"/>
      <c r="F8" s="131"/>
      <c r="G8" s="132"/>
      <c r="H8" s="131"/>
      <c r="I8" s="130"/>
    </row>
    <row r="9" spans="1:9" s="42" customFormat="1" ht="18" customHeight="1">
      <c r="A9" s="39"/>
      <c r="B9" s="35"/>
      <c r="C9" s="40"/>
      <c r="E9" s="403" t="s">
        <v>1688</v>
      </c>
      <c r="F9" s="404"/>
      <c r="G9" s="404"/>
      <c r="H9" s="405"/>
    </row>
    <row r="10" spans="1:9">
      <c r="A10" s="129"/>
      <c r="B10" s="129"/>
      <c r="C10" s="129"/>
      <c r="D10" s="130"/>
      <c r="E10" s="20"/>
      <c r="F10" s="20"/>
      <c r="G10" s="76"/>
      <c r="H10" s="20"/>
      <c r="I10" s="130"/>
    </row>
    <row r="11" spans="1:9" ht="30" customHeight="1">
      <c r="D11" s="130"/>
      <c r="E11" s="282" t="s">
        <v>1685</v>
      </c>
      <c r="F11" s="282" t="s">
        <v>1686</v>
      </c>
      <c r="G11" s="282" t="s">
        <v>1687</v>
      </c>
      <c r="H11" s="364" t="s">
        <v>1642</v>
      </c>
      <c r="I11" s="130"/>
    </row>
    <row r="12" spans="1:9" ht="12.75">
      <c r="E12" s="378"/>
      <c r="F12" s="378"/>
      <c r="G12" s="283"/>
      <c r="H12" s="284"/>
      <c r="I12" s="130"/>
    </row>
    <row r="13" spans="1:9" ht="12.75">
      <c r="E13" s="379"/>
      <c r="F13" s="379"/>
      <c r="G13" s="132"/>
      <c r="H13" s="131"/>
      <c r="I13" s="130"/>
    </row>
    <row r="14" spans="1:9" ht="12.75">
      <c r="E14" s="281"/>
      <c r="F14" s="281"/>
      <c r="G14" s="132"/>
      <c r="H14" s="131"/>
      <c r="I14" s="130"/>
    </row>
    <row r="15" spans="1:9" ht="12.75">
      <c r="E15" s="281"/>
      <c r="F15" s="281"/>
      <c r="G15" s="132"/>
      <c r="H15" s="131"/>
      <c r="I15" s="130"/>
    </row>
    <row r="16" spans="1:9" ht="12.75">
      <c r="E16" s="281"/>
      <c r="F16" s="281"/>
      <c r="G16" s="132"/>
      <c r="H16" s="131"/>
      <c r="I16" s="130"/>
    </row>
    <row r="17" spans="5:9" ht="12.75">
      <c r="E17" s="281"/>
      <c r="F17" s="281"/>
      <c r="G17" s="132"/>
      <c r="H17" s="131"/>
      <c r="I17" s="130"/>
    </row>
    <row r="18" spans="5:9" ht="12.75">
      <c r="E18" s="281"/>
      <c r="F18" s="281"/>
      <c r="G18" s="132"/>
      <c r="H18" s="131"/>
      <c r="I18" s="130"/>
    </row>
    <row r="19" spans="5:9" ht="12.75">
      <c r="E19" s="281"/>
      <c r="F19" s="281"/>
      <c r="G19" s="132"/>
      <c r="H19" s="131"/>
      <c r="I19" s="130"/>
    </row>
    <row r="20" spans="5:9" ht="12.75">
      <c r="E20" s="281"/>
      <c r="F20" s="281"/>
      <c r="G20" s="132"/>
      <c r="H20" s="131"/>
      <c r="I20" s="130"/>
    </row>
    <row r="21" spans="5:9" ht="12.75">
      <c r="E21" s="281"/>
      <c r="F21" s="281"/>
      <c r="G21" s="132"/>
      <c r="H21" s="131"/>
      <c r="I21" s="130"/>
    </row>
    <row r="22" spans="5:9" ht="12.75">
      <c r="E22" s="133"/>
      <c r="F22" s="133"/>
      <c r="G22" s="132"/>
      <c r="H22" s="131"/>
      <c r="I22" s="130"/>
    </row>
    <row r="23" spans="5:9" ht="12.75">
      <c r="E23" s="133"/>
      <c r="F23" s="133"/>
      <c r="G23" s="132"/>
      <c r="H23" s="131"/>
      <c r="I23" s="130"/>
    </row>
    <row r="24" spans="5:9" ht="12.75">
      <c r="E24" s="133"/>
      <c r="F24" s="133"/>
      <c r="G24" s="132"/>
      <c r="H24" s="131"/>
      <c r="I24" s="130"/>
    </row>
    <row r="25" spans="5:9" ht="12.75">
      <c r="E25" s="133"/>
      <c r="F25" s="133"/>
      <c r="G25" s="132"/>
      <c r="H25" s="131"/>
      <c r="I25" s="130"/>
    </row>
    <row r="26" spans="5:9" ht="12.75">
      <c r="E26" s="133"/>
      <c r="F26" s="133"/>
      <c r="G26" s="132"/>
      <c r="H26" s="131"/>
      <c r="I26" s="130"/>
    </row>
    <row r="27" spans="5:9" ht="12.75">
      <c r="E27" s="133"/>
      <c r="F27" s="133"/>
      <c r="G27" s="132"/>
      <c r="H27" s="131"/>
      <c r="I27" s="130"/>
    </row>
    <row r="28" spans="5:9" ht="12.75">
      <c r="E28" s="133"/>
      <c r="F28" s="133"/>
      <c r="G28" s="132"/>
      <c r="H28" s="131"/>
      <c r="I28" s="130"/>
    </row>
    <row r="29" spans="5:9" ht="12.75">
      <c r="E29" s="133"/>
      <c r="F29" s="133"/>
      <c r="G29" s="132"/>
      <c r="H29" s="131"/>
      <c r="I29" s="130"/>
    </row>
    <row r="30" spans="5:9" ht="12.75">
      <c r="E30" s="133"/>
      <c r="F30" s="133"/>
      <c r="G30" s="132"/>
      <c r="H30" s="131"/>
      <c r="I30" s="130"/>
    </row>
    <row r="31" spans="5:9" ht="12.75">
      <c r="E31" s="133"/>
      <c r="F31" s="133"/>
      <c r="G31" s="132"/>
      <c r="H31" s="131"/>
      <c r="I31" s="130"/>
    </row>
    <row r="32" spans="5:9" ht="12.75">
      <c r="E32" s="133"/>
      <c r="F32" s="133"/>
      <c r="G32" s="132"/>
      <c r="H32" s="131"/>
      <c r="I32" s="130"/>
    </row>
    <row r="33" spans="5:9" ht="12.75">
      <c r="E33" s="133"/>
      <c r="F33" s="133"/>
      <c r="G33" s="132"/>
      <c r="H33" s="131"/>
      <c r="I33" s="130"/>
    </row>
    <row r="34" spans="5:9" ht="12.75">
      <c r="E34" s="133"/>
      <c r="F34" s="133"/>
      <c r="G34" s="132"/>
      <c r="H34" s="131"/>
      <c r="I34" s="130"/>
    </row>
    <row r="35" spans="5:9" ht="12.75">
      <c r="E35" s="133"/>
      <c r="F35" s="133"/>
      <c r="G35" s="132"/>
      <c r="H35" s="131"/>
      <c r="I35" s="130"/>
    </row>
    <row r="36" spans="5:9" ht="12.75">
      <c r="E36" s="133"/>
      <c r="F36" s="133"/>
      <c r="G36" s="132"/>
      <c r="H36" s="131"/>
      <c r="I36" s="130"/>
    </row>
    <row r="37" spans="5:9" ht="12.75">
      <c r="E37" s="133"/>
      <c r="F37" s="133"/>
      <c r="G37" s="132"/>
      <c r="H37" s="131"/>
      <c r="I37" s="130"/>
    </row>
    <row r="38" spans="5:9" ht="12.75">
      <c r="E38" s="133"/>
      <c r="F38" s="133"/>
      <c r="G38" s="132"/>
      <c r="H38" s="131"/>
      <c r="I38" s="130"/>
    </row>
    <row r="39" spans="5:9" ht="12.75">
      <c r="E39" s="133"/>
      <c r="F39" s="133"/>
      <c r="G39" s="132"/>
      <c r="H39" s="131"/>
      <c r="I39" s="130"/>
    </row>
    <row r="40" spans="5:9" ht="12.75">
      <c r="E40" s="133"/>
      <c r="F40" s="133"/>
      <c r="G40" s="132"/>
      <c r="H40" s="131"/>
      <c r="I40" s="130"/>
    </row>
    <row r="41" spans="5:9" ht="12.75">
      <c r="E41" s="133"/>
      <c r="F41" s="133"/>
      <c r="G41" s="132"/>
      <c r="H41" s="131"/>
      <c r="I41" s="130"/>
    </row>
    <row r="42" spans="5:9" ht="12.75">
      <c r="E42" s="133"/>
      <c r="F42" s="133"/>
      <c r="G42" s="132"/>
      <c r="H42" s="131"/>
      <c r="I42" s="130"/>
    </row>
    <row r="43" spans="5:9" ht="12.75">
      <c r="E43" s="133"/>
      <c r="F43" s="133"/>
      <c r="G43" s="132"/>
      <c r="H43" s="131"/>
      <c r="I43" s="130"/>
    </row>
    <row r="44" spans="5:9" ht="12.75">
      <c r="E44" s="133"/>
      <c r="F44" s="133"/>
      <c r="G44" s="132"/>
      <c r="H44" s="131"/>
      <c r="I44" s="130"/>
    </row>
    <row r="45" spans="5:9" ht="12.75">
      <c r="E45" s="133"/>
      <c r="F45" s="133"/>
      <c r="G45" s="132"/>
      <c r="H45" s="131"/>
      <c r="I45" s="130"/>
    </row>
    <row r="46" spans="5:9" ht="12.75">
      <c r="E46" s="133"/>
      <c r="F46" s="133"/>
      <c r="G46" s="132"/>
      <c r="H46" s="131"/>
      <c r="I46" s="130"/>
    </row>
    <row r="47" spans="5:9" ht="12.75">
      <c r="E47" s="133"/>
      <c r="F47" s="133"/>
      <c r="G47" s="132"/>
      <c r="H47" s="131"/>
      <c r="I47" s="130"/>
    </row>
    <row r="48" spans="5:9" ht="12.75">
      <c r="E48" s="133"/>
      <c r="F48" s="133"/>
      <c r="G48" s="132"/>
      <c r="H48" s="131"/>
      <c r="I48" s="130"/>
    </row>
    <row r="49" spans="5:9" ht="12.75">
      <c r="E49" s="133"/>
      <c r="F49" s="133"/>
      <c r="G49" s="132"/>
      <c r="H49" s="131"/>
      <c r="I49" s="130"/>
    </row>
    <row r="50" spans="5:9" ht="12.75">
      <c r="E50" s="133"/>
      <c r="F50" s="133"/>
      <c r="G50" s="132"/>
      <c r="H50" s="131"/>
      <c r="I50" s="130"/>
    </row>
    <row r="51" spans="5:9" ht="12.75">
      <c r="E51" s="133"/>
      <c r="F51" s="133"/>
      <c r="G51" s="132"/>
      <c r="H51" s="131"/>
      <c r="I51" s="130"/>
    </row>
    <row r="52" spans="5:9" ht="12.75">
      <c r="E52" s="133"/>
      <c r="F52" s="133"/>
      <c r="G52" s="132"/>
      <c r="H52" s="131"/>
      <c r="I52" s="130"/>
    </row>
    <row r="53" spans="5:9" ht="12.75">
      <c r="E53" s="133"/>
      <c r="F53" s="133"/>
      <c r="G53" s="132"/>
      <c r="H53" s="131"/>
      <c r="I53" s="130"/>
    </row>
    <row r="54" spans="5:9" ht="12.75">
      <c r="E54" s="133"/>
      <c r="F54" s="133"/>
      <c r="G54" s="132"/>
      <c r="H54" s="131"/>
      <c r="I54" s="130"/>
    </row>
    <row r="55" spans="5:9" ht="12.75">
      <c r="E55" s="133"/>
      <c r="F55" s="133"/>
      <c r="G55" s="132"/>
      <c r="H55" s="131"/>
      <c r="I55" s="130"/>
    </row>
    <row r="56" spans="5:9" ht="12.75">
      <c r="E56" s="133"/>
      <c r="F56" s="133"/>
      <c r="G56" s="132"/>
      <c r="H56" s="131"/>
      <c r="I56" s="130"/>
    </row>
    <row r="57" spans="5:9" ht="12.75">
      <c r="E57" s="133"/>
      <c r="F57" s="133"/>
      <c r="G57" s="132"/>
      <c r="H57" s="131"/>
      <c r="I57" s="130"/>
    </row>
    <row r="58" spans="5:9" ht="12.75">
      <c r="E58" s="133"/>
      <c r="F58" s="133"/>
      <c r="G58" s="132"/>
      <c r="H58" s="131"/>
      <c r="I58" s="130"/>
    </row>
    <row r="59" spans="5:9" ht="12.75">
      <c r="E59" s="133"/>
      <c r="F59" s="133"/>
      <c r="G59" s="132"/>
      <c r="H59" s="131"/>
      <c r="I59" s="130"/>
    </row>
    <row r="60" spans="5:9" ht="12.75">
      <c r="E60" s="133"/>
      <c r="F60" s="133"/>
      <c r="G60" s="132"/>
      <c r="H60" s="131"/>
      <c r="I60" s="130"/>
    </row>
    <row r="61" spans="5:9" ht="12.75">
      <c r="E61" s="133"/>
      <c r="F61" s="133"/>
      <c r="G61" s="132"/>
      <c r="H61" s="131"/>
      <c r="I61" s="130"/>
    </row>
    <row r="62" spans="5:9" ht="12.75">
      <c r="E62" s="133"/>
      <c r="F62" s="133"/>
      <c r="G62" s="132"/>
      <c r="H62" s="131"/>
      <c r="I62" s="130"/>
    </row>
    <row r="63" spans="5:9" ht="12.75">
      <c r="E63" s="133"/>
      <c r="F63" s="133"/>
      <c r="G63" s="132"/>
      <c r="H63" s="131"/>
      <c r="I63" s="130"/>
    </row>
    <row r="64" spans="5:9" ht="12.75">
      <c r="E64" s="133"/>
      <c r="F64" s="133"/>
      <c r="G64" s="132"/>
      <c r="H64" s="131"/>
      <c r="I64" s="130"/>
    </row>
    <row r="65" spans="5:9" ht="12.75">
      <c r="E65" s="133"/>
      <c r="F65" s="133"/>
      <c r="G65" s="132"/>
      <c r="H65" s="131"/>
      <c r="I65" s="130"/>
    </row>
    <row r="66" spans="5:9" ht="12.75">
      <c r="E66" s="133"/>
      <c r="F66" s="133"/>
      <c r="G66" s="132"/>
      <c r="H66" s="131"/>
      <c r="I66" s="130"/>
    </row>
    <row r="67" spans="5:9" ht="12.75">
      <c r="E67" s="133"/>
      <c r="F67" s="133"/>
      <c r="G67" s="132"/>
      <c r="H67" s="131"/>
      <c r="I67" s="130"/>
    </row>
    <row r="68" spans="5:9" ht="12.75">
      <c r="E68" s="133"/>
      <c r="F68" s="133"/>
      <c r="G68" s="132"/>
      <c r="H68" s="131"/>
      <c r="I68" s="130"/>
    </row>
    <row r="69" spans="5:9" ht="12.75">
      <c r="E69" s="133"/>
      <c r="F69" s="133"/>
      <c r="G69" s="132"/>
      <c r="H69" s="131"/>
      <c r="I69" s="130"/>
    </row>
    <row r="70" spans="5:9" ht="12.75">
      <c r="E70" s="133"/>
      <c r="F70" s="133"/>
      <c r="G70" s="132"/>
      <c r="H70" s="131"/>
      <c r="I70" s="130"/>
    </row>
    <row r="71" spans="5:9" ht="12.75">
      <c r="E71" s="133"/>
      <c r="F71" s="133"/>
      <c r="G71" s="132"/>
      <c r="H71" s="131"/>
      <c r="I71" s="130"/>
    </row>
    <row r="72" spans="5:9" ht="12.75">
      <c r="E72" s="133"/>
      <c r="F72" s="133"/>
      <c r="G72" s="132"/>
      <c r="H72" s="131"/>
      <c r="I72" s="130"/>
    </row>
    <row r="73" spans="5:9" ht="12.75">
      <c r="E73" s="133"/>
      <c r="F73" s="133"/>
      <c r="G73" s="132"/>
      <c r="H73" s="131"/>
      <c r="I73" s="130"/>
    </row>
    <row r="74" spans="5:9" ht="12.75">
      <c r="E74" s="133"/>
      <c r="F74" s="133"/>
      <c r="G74" s="132"/>
      <c r="H74" s="131"/>
      <c r="I74" s="130"/>
    </row>
    <row r="75" spans="5:9" ht="12.75">
      <c r="E75" s="133"/>
      <c r="F75" s="133"/>
      <c r="G75" s="132"/>
      <c r="H75" s="131"/>
      <c r="I75" s="130"/>
    </row>
    <row r="76" spans="5:9" ht="12.75">
      <c r="E76" s="133"/>
      <c r="F76" s="133"/>
      <c r="G76" s="132"/>
      <c r="H76" s="131"/>
      <c r="I76" s="130"/>
    </row>
    <row r="77" spans="5:9" ht="12.75">
      <c r="E77" s="133"/>
      <c r="F77" s="133"/>
      <c r="G77" s="132"/>
      <c r="H77" s="131"/>
      <c r="I77" s="130"/>
    </row>
    <row r="78" spans="5:9" ht="12.75">
      <c r="E78" s="133"/>
      <c r="F78" s="133"/>
      <c r="G78" s="132"/>
      <c r="H78" s="131"/>
      <c r="I78" s="130"/>
    </row>
    <row r="79" spans="5:9" ht="12.75">
      <c r="E79" s="133"/>
      <c r="F79" s="133"/>
      <c r="G79" s="132"/>
      <c r="H79" s="131"/>
      <c r="I79" s="130"/>
    </row>
    <row r="80" spans="5:9" ht="12.75">
      <c r="E80" s="133"/>
      <c r="F80" s="133"/>
      <c r="G80" s="132"/>
      <c r="H80" s="131"/>
      <c r="I80" s="130"/>
    </row>
    <row r="81" spans="5:9" ht="12.75">
      <c r="E81" s="133"/>
      <c r="F81" s="133"/>
      <c r="G81" s="132"/>
      <c r="H81" s="131"/>
      <c r="I81" s="130"/>
    </row>
    <row r="82" spans="5:9" ht="12.75">
      <c r="E82" s="133"/>
      <c r="F82" s="133"/>
      <c r="G82" s="132"/>
      <c r="H82" s="131"/>
      <c r="I82" s="130"/>
    </row>
    <row r="83" spans="5:9" ht="12.75">
      <c r="E83" s="133"/>
      <c r="F83" s="133"/>
      <c r="G83" s="132"/>
      <c r="H83" s="131"/>
      <c r="I83" s="130"/>
    </row>
    <row r="84" spans="5:9" ht="12.75">
      <c r="E84" s="133"/>
      <c r="F84" s="133"/>
      <c r="G84" s="132"/>
      <c r="H84" s="131"/>
      <c r="I84" s="130"/>
    </row>
    <row r="85" spans="5:9" ht="12.75">
      <c r="E85" s="133"/>
      <c r="F85" s="133"/>
      <c r="G85" s="132"/>
      <c r="H85" s="131"/>
      <c r="I85" s="130"/>
    </row>
    <row r="86" spans="5:9" ht="12.75">
      <c r="E86" s="133"/>
      <c r="F86" s="133"/>
      <c r="G86" s="132"/>
      <c r="H86" s="131"/>
      <c r="I86" s="130"/>
    </row>
    <row r="87" spans="5:9" ht="12.75">
      <c r="E87" s="133"/>
      <c r="F87" s="133"/>
      <c r="G87" s="132"/>
      <c r="H87" s="131"/>
      <c r="I87" s="130"/>
    </row>
    <row r="88" spans="5:9" ht="12.75">
      <c r="E88" s="133"/>
      <c r="F88" s="133"/>
      <c r="G88" s="132"/>
      <c r="H88" s="131"/>
      <c r="I88" s="130"/>
    </row>
    <row r="89" spans="5:9" ht="12.75">
      <c r="E89" s="133"/>
      <c r="F89" s="133"/>
      <c r="G89" s="132"/>
      <c r="H89" s="131"/>
      <c r="I89" s="130"/>
    </row>
    <row r="90" spans="5:9" ht="12.75">
      <c r="E90" s="133"/>
      <c r="F90" s="133"/>
      <c r="G90" s="132"/>
      <c r="H90" s="131"/>
      <c r="I90" s="130"/>
    </row>
    <row r="91" spans="5:9" ht="12.75">
      <c r="E91" s="133"/>
      <c r="F91" s="133"/>
      <c r="G91" s="132"/>
      <c r="H91" s="131"/>
      <c r="I91" s="130"/>
    </row>
    <row r="92" spans="5:9" ht="12.75">
      <c r="E92" s="133"/>
      <c r="F92" s="133"/>
      <c r="G92" s="132"/>
      <c r="H92" s="131"/>
      <c r="I92" s="130"/>
    </row>
    <row r="93" spans="5:9" ht="12.75">
      <c r="E93" s="133"/>
      <c r="F93" s="133"/>
      <c r="G93" s="132"/>
      <c r="H93" s="131"/>
      <c r="I93" s="130"/>
    </row>
    <row r="94" spans="5:9" ht="12.75">
      <c r="E94" s="133"/>
      <c r="F94" s="133"/>
      <c r="G94" s="132"/>
      <c r="H94" s="131"/>
      <c r="I94" s="130"/>
    </row>
    <row r="95" spans="5:9" ht="12.75">
      <c r="E95" s="133"/>
      <c r="F95" s="133"/>
      <c r="G95" s="132"/>
      <c r="H95" s="131"/>
      <c r="I95" s="130"/>
    </row>
    <row r="96" spans="5:9" ht="12.75">
      <c r="E96" s="133"/>
      <c r="F96" s="133"/>
      <c r="G96" s="132"/>
      <c r="H96" s="131"/>
      <c r="I96" s="130"/>
    </row>
    <row r="97" spans="5:9" ht="12.75">
      <c r="E97" s="133"/>
      <c r="F97" s="133"/>
      <c r="G97" s="132"/>
      <c r="H97" s="131"/>
      <c r="I97" s="130"/>
    </row>
    <row r="98" spans="5:9" ht="12.75">
      <c r="E98" s="133"/>
      <c r="F98" s="133"/>
      <c r="G98" s="132"/>
      <c r="H98" s="131"/>
      <c r="I98" s="130"/>
    </row>
    <row r="99" spans="5:9" ht="12.75">
      <c r="E99" s="133"/>
      <c r="F99" s="133"/>
      <c r="G99" s="132"/>
      <c r="H99" s="131"/>
      <c r="I99" s="130"/>
    </row>
    <row r="100" spans="5:9" ht="12.75">
      <c r="E100" s="133"/>
      <c r="F100" s="133"/>
      <c r="G100" s="132"/>
      <c r="H100" s="131"/>
      <c r="I100" s="130"/>
    </row>
    <row r="101" spans="5:9" ht="12.75">
      <c r="E101" s="133"/>
      <c r="F101" s="133"/>
      <c r="G101" s="132"/>
      <c r="H101" s="131"/>
      <c r="I101" s="130"/>
    </row>
    <row r="102" spans="5:9" ht="12.75">
      <c r="E102" s="133"/>
      <c r="F102" s="133"/>
      <c r="G102" s="132"/>
      <c r="H102" s="131"/>
      <c r="I102" s="130"/>
    </row>
    <row r="103" spans="5:9" ht="12.75">
      <c r="E103" s="133"/>
      <c r="F103" s="133"/>
      <c r="G103" s="132"/>
      <c r="H103" s="131"/>
      <c r="I103" s="130"/>
    </row>
    <row r="104" spans="5:9" ht="12.75">
      <c r="E104" s="133"/>
      <c r="F104" s="133"/>
      <c r="G104" s="132"/>
      <c r="H104" s="131"/>
      <c r="I104" s="130"/>
    </row>
    <row r="105" spans="5:9" ht="12.75">
      <c r="E105" s="133"/>
      <c r="F105" s="133"/>
      <c r="G105" s="132"/>
      <c r="H105" s="131"/>
      <c r="I105" s="130"/>
    </row>
    <row r="106" spans="5:9" ht="12.75">
      <c r="E106" s="133"/>
      <c r="F106" s="133"/>
      <c r="G106" s="132"/>
      <c r="H106" s="131"/>
      <c r="I106" s="130"/>
    </row>
    <row r="107" spans="5:9" ht="12.75">
      <c r="E107" s="133"/>
      <c r="F107" s="133"/>
      <c r="G107" s="132"/>
      <c r="H107" s="131"/>
      <c r="I107" s="130"/>
    </row>
    <row r="108" spans="5:9" ht="12.75">
      <c r="E108" s="133"/>
      <c r="F108" s="133"/>
      <c r="G108" s="132"/>
      <c r="H108" s="131"/>
      <c r="I108" s="130"/>
    </row>
    <row r="109" spans="5:9" ht="12.75">
      <c r="E109" s="133"/>
      <c r="F109" s="133"/>
      <c r="G109" s="132"/>
      <c r="H109" s="131"/>
      <c r="I109" s="130"/>
    </row>
    <row r="110" spans="5:9" ht="12.75">
      <c r="E110" s="133"/>
      <c r="F110" s="133"/>
      <c r="G110" s="132"/>
      <c r="H110" s="131"/>
      <c r="I110" s="130"/>
    </row>
    <row r="111" spans="5:9" ht="12.75">
      <c r="E111" s="133"/>
      <c r="F111" s="133"/>
      <c r="G111" s="132"/>
      <c r="H111" s="131"/>
      <c r="I111" s="130"/>
    </row>
    <row r="112" spans="5:9" ht="12.75">
      <c r="E112" s="133"/>
      <c r="F112" s="133"/>
      <c r="G112" s="132"/>
      <c r="H112" s="131"/>
      <c r="I112" s="130"/>
    </row>
    <row r="113" spans="5:9" ht="12.75">
      <c r="E113" s="133"/>
      <c r="F113" s="133"/>
      <c r="G113" s="132"/>
      <c r="H113" s="131"/>
      <c r="I113" s="130"/>
    </row>
    <row r="114" spans="5:9" ht="12.75">
      <c r="E114" s="133"/>
      <c r="F114" s="133"/>
      <c r="G114" s="132"/>
      <c r="H114" s="131"/>
      <c r="I114" s="130"/>
    </row>
    <row r="115" spans="5:9" ht="12.75">
      <c r="E115" s="133"/>
      <c r="F115" s="133"/>
      <c r="G115" s="132"/>
      <c r="H115" s="131"/>
      <c r="I115" s="130"/>
    </row>
    <row r="116" spans="5:9" ht="12.75">
      <c r="E116" s="133"/>
      <c r="F116" s="133"/>
      <c r="G116" s="132"/>
      <c r="H116" s="131"/>
      <c r="I116" s="130"/>
    </row>
    <row r="117" spans="5:9" ht="12.75">
      <c r="E117" s="133"/>
      <c r="F117" s="133"/>
      <c r="G117" s="132"/>
      <c r="H117" s="131"/>
      <c r="I117" s="130"/>
    </row>
    <row r="118" spans="5:9" ht="12.75">
      <c r="E118" s="133"/>
      <c r="F118" s="133"/>
      <c r="G118" s="132"/>
      <c r="H118" s="131"/>
      <c r="I118" s="130"/>
    </row>
    <row r="119" spans="5:9" ht="12.75">
      <c r="E119" s="133"/>
      <c r="F119" s="133"/>
      <c r="G119" s="132"/>
      <c r="H119" s="131"/>
      <c r="I119" s="130"/>
    </row>
    <row r="120" spans="5:9" ht="12.75">
      <c r="E120" s="133"/>
      <c r="F120" s="133"/>
      <c r="G120" s="132"/>
      <c r="H120" s="131"/>
      <c r="I120" s="130"/>
    </row>
    <row r="121" spans="5:9" ht="12.75">
      <c r="E121" s="133"/>
      <c r="F121" s="133"/>
      <c r="G121" s="132"/>
      <c r="H121" s="131"/>
      <c r="I121" s="130"/>
    </row>
    <row r="122" spans="5:9" ht="12.75">
      <c r="E122" s="133"/>
      <c r="F122" s="133"/>
      <c r="G122" s="132"/>
      <c r="H122" s="131"/>
      <c r="I122" s="130"/>
    </row>
    <row r="123" spans="5:9" ht="12.75">
      <c r="E123" s="133"/>
      <c r="F123" s="133"/>
      <c r="G123" s="132"/>
      <c r="H123" s="131"/>
      <c r="I123" s="130"/>
    </row>
    <row r="124" spans="5:9" ht="12.75">
      <c r="E124" s="133"/>
      <c r="F124" s="133"/>
      <c r="G124" s="132"/>
      <c r="H124" s="131"/>
      <c r="I124" s="130"/>
    </row>
    <row r="125" spans="5:9" ht="12.75">
      <c r="E125" s="133"/>
      <c r="F125" s="133"/>
      <c r="G125" s="132"/>
      <c r="H125" s="131"/>
      <c r="I125" s="130"/>
    </row>
    <row r="126" spans="5:9" ht="12.75">
      <c r="E126" s="133"/>
      <c r="F126" s="133"/>
      <c r="G126" s="132"/>
      <c r="H126" s="131"/>
      <c r="I126" s="130"/>
    </row>
    <row r="127" spans="5:9" ht="12.75">
      <c r="E127" s="133"/>
      <c r="F127" s="133"/>
      <c r="G127" s="132"/>
      <c r="H127" s="131"/>
      <c r="I127" s="130"/>
    </row>
    <row r="128" spans="5:9" ht="12.75">
      <c r="E128" s="133"/>
      <c r="F128" s="133"/>
      <c r="G128" s="132"/>
      <c r="H128" s="131"/>
      <c r="I128" s="130"/>
    </row>
    <row r="129" spans="5:9" ht="12.75">
      <c r="E129" s="133"/>
      <c r="F129" s="133"/>
      <c r="G129" s="132"/>
      <c r="H129" s="131"/>
      <c r="I129" s="130"/>
    </row>
    <row r="130" spans="5:9" ht="12.75">
      <c r="E130" s="133"/>
      <c r="F130" s="133"/>
      <c r="G130" s="132"/>
      <c r="H130" s="131"/>
      <c r="I130" s="130"/>
    </row>
    <row r="131" spans="5:9" ht="12.75">
      <c r="E131" s="133"/>
      <c r="F131" s="133"/>
      <c r="G131" s="132"/>
      <c r="H131" s="131"/>
      <c r="I131" s="130"/>
    </row>
    <row r="132" spans="5:9" ht="12.75">
      <c r="E132" s="133"/>
      <c r="F132" s="133"/>
      <c r="G132" s="132"/>
      <c r="H132" s="131"/>
      <c r="I132" s="130"/>
    </row>
    <row r="133" spans="5:9" ht="12.75">
      <c r="E133" s="133"/>
      <c r="F133" s="133"/>
      <c r="G133" s="132"/>
      <c r="H133" s="131"/>
      <c r="I133" s="130"/>
    </row>
    <row r="134" spans="5:9" ht="12.75">
      <c r="E134" s="133"/>
      <c r="F134" s="133"/>
      <c r="G134" s="132"/>
      <c r="H134" s="131"/>
      <c r="I134" s="130"/>
    </row>
    <row r="135" spans="5:9" ht="12.75">
      <c r="E135" s="133"/>
      <c r="F135" s="133"/>
      <c r="G135" s="132"/>
      <c r="H135" s="131"/>
      <c r="I135" s="130"/>
    </row>
    <row r="136" spans="5:9" ht="12.75">
      <c r="E136" s="133"/>
      <c r="F136" s="133"/>
      <c r="G136" s="132"/>
      <c r="H136" s="131"/>
      <c r="I136" s="130"/>
    </row>
    <row r="137" spans="5:9" ht="12.75">
      <c r="E137" s="133"/>
      <c r="F137" s="133"/>
      <c r="G137" s="132"/>
      <c r="H137" s="131"/>
      <c r="I137" s="130"/>
    </row>
    <row r="138" spans="5:9" ht="12.75">
      <c r="E138" s="133"/>
      <c r="F138" s="133"/>
      <c r="G138" s="132"/>
      <c r="H138" s="131"/>
      <c r="I138" s="130"/>
    </row>
    <row r="139" spans="5:9" ht="12.75">
      <c r="E139" s="133"/>
      <c r="F139" s="133"/>
      <c r="G139" s="132"/>
      <c r="H139" s="131"/>
      <c r="I139" s="130"/>
    </row>
    <row r="140" spans="5:9" ht="12.75">
      <c r="E140" s="133"/>
      <c r="F140" s="133"/>
      <c r="G140" s="132"/>
      <c r="H140" s="131"/>
      <c r="I140" s="130"/>
    </row>
    <row r="141" spans="5:9" ht="12.75">
      <c r="E141" s="133"/>
      <c r="F141" s="133"/>
      <c r="G141" s="132"/>
      <c r="H141" s="131"/>
      <c r="I141" s="130"/>
    </row>
    <row r="142" spans="5:9" ht="12.75">
      <c r="E142" s="133"/>
      <c r="F142" s="133"/>
      <c r="G142" s="132"/>
      <c r="H142" s="131"/>
      <c r="I142" s="130"/>
    </row>
    <row r="143" spans="5:9" ht="12.75">
      <c r="E143" s="133"/>
      <c r="F143" s="133"/>
      <c r="G143" s="132"/>
      <c r="H143" s="131"/>
      <c r="I143" s="130"/>
    </row>
    <row r="144" spans="5:9" ht="12.75">
      <c r="E144" s="133"/>
      <c r="F144" s="133"/>
      <c r="G144" s="132"/>
      <c r="H144" s="131"/>
      <c r="I144" s="130"/>
    </row>
    <row r="145" spans="5:9" ht="12.75">
      <c r="E145" s="133"/>
      <c r="F145" s="133"/>
      <c r="G145" s="132"/>
      <c r="H145" s="131"/>
      <c r="I145" s="130"/>
    </row>
    <row r="146" spans="5:9" ht="12.75">
      <c r="E146" s="133"/>
      <c r="F146" s="133"/>
      <c r="G146" s="132"/>
      <c r="H146" s="131"/>
      <c r="I146" s="130"/>
    </row>
    <row r="147" spans="5:9" ht="12.75">
      <c r="E147" s="133"/>
      <c r="F147" s="133"/>
      <c r="G147" s="132"/>
      <c r="H147" s="131"/>
      <c r="I147" s="130"/>
    </row>
    <row r="148" spans="5:9" ht="12.75">
      <c r="E148" s="133"/>
      <c r="F148" s="133"/>
      <c r="G148" s="132"/>
      <c r="H148" s="131"/>
      <c r="I148" s="130"/>
    </row>
    <row r="149" spans="5:9" ht="12.75">
      <c r="E149" s="133"/>
      <c r="F149" s="133"/>
      <c r="G149" s="132"/>
      <c r="H149" s="131"/>
      <c r="I149" s="130"/>
    </row>
    <row r="150" spans="5:9" ht="12.75">
      <c r="E150" s="133"/>
      <c r="F150" s="133"/>
      <c r="G150" s="132"/>
      <c r="H150" s="131"/>
      <c r="I150" s="130"/>
    </row>
    <row r="151" spans="5:9" ht="12.75">
      <c r="E151" s="133"/>
      <c r="F151" s="133"/>
      <c r="G151" s="132"/>
      <c r="H151" s="131"/>
      <c r="I151" s="130"/>
    </row>
    <row r="152" spans="5:9" ht="12.75">
      <c r="E152" s="133"/>
      <c r="F152" s="133"/>
      <c r="G152" s="132"/>
      <c r="H152" s="131"/>
      <c r="I152" s="130"/>
    </row>
    <row r="153" spans="5:9" ht="12.75">
      <c r="E153" s="133"/>
      <c r="F153" s="133"/>
      <c r="G153" s="132"/>
      <c r="H153" s="131"/>
      <c r="I153" s="130"/>
    </row>
    <row r="154" spans="5:9" ht="12.75">
      <c r="E154" s="133"/>
      <c r="F154" s="133"/>
      <c r="G154" s="132"/>
      <c r="H154" s="131"/>
      <c r="I154" s="130"/>
    </row>
    <row r="155" spans="5:9" ht="12.75">
      <c r="E155" s="133"/>
      <c r="F155" s="133"/>
      <c r="G155" s="132"/>
      <c r="H155" s="131"/>
      <c r="I155" s="130"/>
    </row>
    <row r="156" spans="5:9" ht="12.75">
      <c r="E156" s="133"/>
      <c r="F156" s="133"/>
      <c r="G156" s="132"/>
      <c r="H156" s="131"/>
      <c r="I156" s="130"/>
    </row>
    <row r="157" spans="5:9" ht="12.75">
      <c r="E157" s="133"/>
      <c r="F157" s="133"/>
      <c r="G157" s="132"/>
      <c r="H157" s="131"/>
      <c r="I157" s="130"/>
    </row>
    <row r="158" spans="5:9" ht="12.75">
      <c r="E158" s="133"/>
      <c r="F158" s="133"/>
      <c r="G158" s="132"/>
      <c r="H158" s="131"/>
      <c r="I158" s="130"/>
    </row>
    <row r="159" spans="5:9" ht="12.75">
      <c r="E159" s="133"/>
      <c r="F159" s="133"/>
      <c r="G159" s="132"/>
      <c r="H159" s="131"/>
      <c r="I159" s="130"/>
    </row>
    <row r="160" spans="5:9" ht="12.75">
      <c r="E160" s="133"/>
      <c r="F160" s="133"/>
      <c r="G160" s="132"/>
      <c r="H160" s="131"/>
      <c r="I160" s="130"/>
    </row>
    <row r="161" spans="5:9" ht="12.75">
      <c r="E161" s="133"/>
      <c r="F161" s="133"/>
      <c r="G161" s="132"/>
      <c r="H161" s="131"/>
      <c r="I161" s="130"/>
    </row>
    <row r="162" spans="5:9" ht="12.75">
      <c r="E162" s="133"/>
      <c r="F162" s="133"/>
      <c r="G162" s="132"/>
      <c r="H162" s="131"/>
      <c r="I162" s="130"/>
    </row>
    <row r="163" spans="5:9" ht="12.75">
      <c r="E163" s="133"/>
      <c r="F163" s="133"/>
      <c r="G163" s="132"/>
      <c r="H163" s="131"/>
      <c r="I163" s="130"/>
    </row>
    <row r="164" spans="5:9" ht="12.75">
      <c r="E164" s="133"/>
      <c r="F164" s="133"/>
      <c r="G164" s="132"/>
      <c r="H164" s="131"/>
      <c r="I164" s="130"/>
    </row>
    <row r="165" spans="5:9" ht="12.75">
      <c r="E165" s="133"/>
      <c r="F165" s="133"/>
      <c r="G165" s="132"/>
      <c r="H165" s="131"/>
      <c r="I165" s="130"/>
    </row>
    <row r="166" spans="5:9" ht="12.75">
      <c r="E166" s="133"/>
      <c r="F166" s="133"/>
      <c r="G166" s="132"/>
      <c r="H166" s="131"/>
      <c r="I166" s="130"/>
    </row>
    <row r="167" spans="5:9" ht="12.75">
      <c r="E167" s="133"/>
      <c r="F167" s="133"/>
      <c r="G167" s="132"/>
      <c r="H167" s="131"/>
      <c r="I167" s="130"/>
    </row>
    <row r="168" spans="5:9" ht="12.75">
      <c r="E168" s="133"/>
      <c r="F168" s="133"/>
      <c r="G168" s="132"/>
      <c r="H168" s="131"/>
      <c r="I168" s="130"/>
    </row>
    <row r="169" spans="5:9" ht="12.75">
      <c r="E169" s="133"/>
      <c r="F169" s="133"/>
      <c r="G169" s="132"/>
      <c r="H169" s="131"/>
      <c r="I169" s="130"/>
    </row>
    <row r="170" spans="5:9" ht="12.75">
      <c r="E170" s="133"/>
      <c r="F170" s="133"/>
      <c r="G170" s="132"/>
      <c r="H170" s="131"/>
      <c r="I170" s="130"/>
    </row>
    <row r="171" spans="5:9" ht="12.75">
      <c r="E171" s="133"/>
      <c r="F171" s="133"/>
      <c r="G171" s="132"/>
      <c r="H171" s="131"/>
      <c r="I171" s="130"/>
    </row>
    <row r="172" spans="5:9" ht="12.75">
      <c r="E172" s="133"/>
      <c r="F172" s="133"/>
      <c r="G172" s="132"/>
      <c r="H172" s="131"/>
      <c r="I172" s="130"/>
    </row>
    <row r="173" spans="5:9" ht="12.75">
      <c r="E173" s="133"/>
      <c r="F173" s="133"/>
      <c r="G173" s="132"/>
      <c r="H173" s="131"/>
      <c r="I173" s="130"/>
    </row>
    <row r="174" spans="5:9" ht="12.75">
      <c r="E174" s="133"/>
      <c r="F174" s="133"/>
      <c r="G174" s="132"/>
      <c r="H174" s="131"/>
      <c r="I174" s="130"/>
    </row>
    <row r="175" spans="5:9" ht="12.75">
      <c r="E175" s="133"/>
      <c r="F175" s="133"/>
      <c r="G175" s="132"/>
      <c r="H175" s="131"/>
      <c r="I175" s="130"/>
    </row>
    <row r="176" spans="5:9" ht="12.75">
      <c r="E176" s="133"/>
      <c r="F176" s="133"/>
      <c r="G176" s="132"/>
      <c r="H176" s="131"/>
      <c r="I176" s="130"/>
    </row>
    <row r="177" spans="5:9" ht="12.75">
      <c r="E177" s="133"/>
      <c r="F177" s="133"/>
      <c r="G177" s="132"/>
      <c r="H177" s="131"/>
      <c r="I177" s="130"/>
    </row>
    <row r="178" spans="5:9" ht="12.75">
      <c r="E178" s="133"/>
      <c r="F178" s="133"/>
      <c r="G178" s="132"/>
      <c r="H178" s="131"/>
      <c r="I178" s="130"/>
    </row>
    <row r="179" spans="5:9" ht="12.75">
      <c r="E179" s="133"/>
      <c r="F179" s="133"/>
      <c r="G179" s="132"/>
      <c r="H179" s="131"/>
      <c r="I179" s="130"/>
    </row>
    <row r="180" spans="5:9" ht="12.75">
      <c r="E180" s="133"/>
      <c r="F180" s="133"/>
      <c r="G180" s="132"/>
      <c r="H180" s="131"/>
      <c r="I180" s="130"/>
    </row>
    <row r="181" spans="5:9" ht="12.75">
      <c r="E181" s="133"/>
      <c r="F181" s="133"/>
      <c r="G181" s="132"/>
      <c r="H181" s="131"/>
      <c r="I181" s="130"/>
    </row>
    <row r="182" spans="5:9" ht="12.75">
      <c r="E182" s="133"/>
      <c r="F182" s="133"/>
      <c r="G182" s="132"/>
      <c r="H182" s="131"/>
      <c r="I182" s="130"/>
    </row>
    <row r="183" spans="5:9" ht="12.75">
      <c r="E183" s="133"/>
      <c r="F183" s="133"/>
      <c r="G183" s="132"/>
      <c r="H183" s="131"/>
      <c r="I183" s="130"/>
    </row>
    <row r="184" spans="5:9" ht="12.75">
      <c r="E184" s="133"/>
      <c r="F184" s="133"/>
      <c r="G184" s="132"/>
      <c r="H184" s="131"/>
      <c r="I184" s="130"/>
    </row>
    <row r="185" spans="5:9" ht="12.75">
      <c r="E185" s="133"/>
      <c r="F185" s="133"/>
      <c r="G185" s="132"/>
      <c r="H185" s="131"/>
      <c r="I185" s="130"/>
    </row>
    <row r="186" spans="5:9" ht="12.75">
      <c r="E186" s="133"/>
      <c r="F186" s="133"/>
      <c r="G186" s="132"/>
      <c r="H186" s="131"/>
      <c r="I186" s="130"/>
    </row>
    <row r="187" spans="5:9" ht="12.75">
      <c r="E187" s="133"/>
      <c r="F187" s="133"/>
      <c r="G187" s="132"/>
      <c r="H187" s="131"/>
      <c r="I187" s="130"/>
    </row>
    <row r="188" spans="5:9" ht="12.75">
      <c r="E188" s="133"/>
      <c r="F188" s="133"/>
      <c r="G188" s="132"/>
      <c r="H188" s="131"/>
      <c r="I188" s="130"/>
    </row>
    <row r="189" spans="5:9" ht="12.75">
      <c r="E189" s="133"/>
      <c r="F189" s="133"/>
      <c r="G189" s="132"/>
      <c r="H189" s="131"/>
      <c r="I189" s="130"/>
    </row>
    <row r="190" spans="5:9" ht="12.75">
      <c r="E190" s="133"/>
      <c r="F190" s="133"/>
      <c r="G190" s="132"/>
      <c r="H190" s="131"/>
      <c r="I190" s="130"/>
    </row>
    <row r="191" spans="5:9" ht="12.75">
      <c r="E191" s="133"/>
      <c r="F191" s="133"/>
      <c r="G191" s="132"/>
      <c r="H191" s="131"/>
      <c r="I191" s="130"/>
    </row>
    <row r="192" spans="5:9" ht="12.75">
      <c r="E192" s="133"/>
      <c r="F192" s="133"/>
      <c r="G192" s="132"/>
      <c r="H192" s="131"/>
      <c r="I192" s="130"/>
    </row>
    <row r="193" spans="5:9" ht="12.75">
      <c r="E193" s="133"/>
      <c r="F193" s="133"/>
      <c r="G193" s="132"/>
      <c r="H193" s="131"/>
      <c r="I193" s="130"/>
    </row>
    <row r="194" spans="5:9" ht="12.75">
      <c r="E194" s="133"/>
      <c r="F194" s="133"/>
      <c r="G194" s="132"/>
      <c r="H194" s="131"/>
      <c r="I194" s="130"/>
    </row>
    <row r="195" spans="5:9" ht="12.75">
      <c r="E195" s="133"/>
      <c r="F195" s="133"/>
      <c r="G195" s="132"/>
      <c r="H195" s="131"/>
      <c r="I195" s="130"/>
    </row>
    <row r="196" spans="5:9" ht="12.75">
      <c r="E196" s="133"/>
      <c r="F196" s="133"/>
      <c r="G196" s="132"/>
      <c r="H196" s="131"/>
      <c r="I196" s="130"/>
    </row>
    <row r="197" spans="5:9" ht="12.75">
      <c r="E197" s="133"/>
      <c r="F197" s="133"/>
      <c r="G197" s="132"/>
      <c r="H197" s="131"/>
      <c r="I197" s="130"/>
    </row>
    <row r="198" spans="5:9" ht="12.75">
      <c r="E198" s="133"/>
      <c r="F198" s="133"/>
      <c r="G198" s="132"/>
      <c r="H198" s="131"/>
      <c r="I198" s="130"/>
    </row>
    <row r="199" spans="5:9" ht="12.75">
      <c r="E199" s="133"/>
      <c r="F199" s="133"/>
      <c r="G199" s="132"/>
      <c r="H199" s="131"/>
      <c r="I199" s="130"/>
    </row>
    <row r="200" spans="5:9" ht="12.75">
      <c r="E200" s="133"/>
      <c r="F200" s="133"/>
      <c r="G200" s="132"/>
      <c r="H200" s="131"/>
      <c r="I200" s="130"/>
    </row>
    <row r="201" spans="5:9" ht="12.75">
      <c r="E201" s="133"/>
      <c r="F201" s="133"/>
      <c r="G201" s="132"/>
      <c r="H201" s="131"/>
      <c r="I201" s="130"/>
    </row>
    <row r="202" spans="5:9" ht="12.75">
      <c r="E202" s="133"/>
      <c r="F202" s="133"/>
      <c r="G202" s="132"/>
      <c r="H202" s="131"/>
      <c r="I202" s="130"/>
    </row>
    <row r="203" spans="5:9" ht="12.75">
      <c r="E203" s="133"/>
      <c r="F203" s="133"/>
      <c r="G203" s="132"/>
      <c r="H203" s="131"/>
      <c r="I203" s="130"/>
    </row>
    <row r="204" spans="5:9" ht="12.75">
      <c r="E204" s="133"/>
      <c r="F204" s="133"/>
      <c r="G204" s="132"/>
      <c r="H204" s="131"/>
      <c r="I204" s="130"/>
    </row>
    <row r="205" spans="5:9" ht="12.75">
      <c r="E205" s="133"/>
      <c r="F205" s="133"/>
      <c r="G205" s="132"/>
      <c r="H205" s="131"/>
      <c r="I205" s="130"/>
    </row>
    <row r="206" spans="5:9" ht="12.75">
      <c r="E206" s="133"/>
      <c r="F206" s="133"/>
      <c r="G206" s="132"/>
      <c r="H206" s="131"/>
      <c r="I206" s="130"/>
    </row>
    <row r="207" spans="5:9" ht="12.75">
      <c r="E207" s="133"/>
      <c r="F207" s="133"/>
      <c r="G207" s="132"/>
      <c r="H207" s="131"/>
      <c r="I207" s="130"/>
    </row>
    <row r="208" spans="5:9" ht="12.75">
      <c r="E208" s="133"/>
      <c r="F208" s="133"/>
      <c r="G208" s="132"/>
      <c r="H208" s="131"/>
      <c r="I208" s="130"/>
    </row>
    <row r="209" spans="5:9" ht="12.75">
      <c r="E209" s="133"/>
      <c r="F209" s="133"/>
      <c r="G209" s="132"/>
      <c r="H209" s="131"/>
      <c r="I209" s="130"/>
    </row>
    <row r="210" spans="5:9" ht="12.75">
      <c r="E210" s="133"/>
      <c r="F210" s="133"/>
      <c r="G210" s="132"/>
      <c r="H210" s="131"/>
      <c r="I210" s="130"/>
    </row>
    <row r="211" spans="5:9" ht="12.75">
      <c r="E211" s="133"/>
      <c r="F211" s="133"/>
      <c r="G211" s="132"/>
      <c r="H211" s="131"/>
      <c r="I211" s="130"/>
    </row>
    <row r="212" spans="5:9" ht="12.75">
      <c r="E212" s="133"/>
      <c r="F212" s="133"/>
      <c r="G212" s="132"/>
      <c r="H212" s="131"/>
      <c r="I212" s="130"/>
    </row>
    <row r="213" spans="5:9" ht="12.75">
      <c r="E213" s="133"/>
      <c r="F213" s="133"/>
      <c r="G213" s="132"/>
      <c r="H213" s="131"/>
      <c r="I213" s="130"/>
    </row>
    <row r="214" spans="5:9" ht="12.75">
      <c r="E214" s="133"/>
      <c r="F214" s="133"/>
      <c r="G214" s="132"/>
      <c r="H214" s="131"/>
      <c r="I214" s="130"/>
    </row>
    <row r="215" spans="5:9" ht="12.75">
      <c r="E215" s="133"/>
      <c r="F215" s="133"/>
      <c r="G215" s="132"/>
      <c r="H215" s="131"/>
      <c r="I215" s="130"/>
    </row>
    <row r="216" spans="5:9" ht="12.75">
      <c r="E216" s="133"/>
      <c r="F216" s="133"/>
      <c r="G216" s="132"/>
      <c r="H216" s="131"/>
      <c r="I216" s="130"/>
    </row>
    <row r="217" spans="5:9" ht="12.75">
      <c r="E217" s="133"/>
      <c r="F217" s="133"/>
      <c r="G217" s="132"/>
      <c r="H217" s="131"/>
      <c r="I217" s="130"/>
    </row>
    <row r="218" spans="5:9" ht="12.75">
      <c r="E218" s="133"/>
      <c r="F218" s="133"/>
      <c r="G218" s="132"/>
      <c r="H218" s="131"/>
      <c r="I218" s="130"/>
    </row>
    <row r="219" spans="5:9" ht="12.75">
      <c r="E219" s="133"/>
      <c r="F219" s="133"/>
      <c r="G219" s="132"/>
      <c r="H219" s="131"/>
      <c r="I219" s="130"/>
    </row>
    <row r="220" spans="5:9" ht="12.75">
      <c r="E220" s="133"/>
      <c r="F220" s="133"/>
      <c r="G220" s="132"/>
      <c r="H220" s="131"/>
      <c r="I220" s="130"/>
    </row>
    <row r="221" spans="5:9" ht="12.75">
      <c r="E221" s="133"/>
      <c r="F221" s="133"/>
      <c r="G221" s="132"/>
      <c r="H221" s="131"/>
      <c r="I221" s="130"/>
    </row>
    <row r="222" spans="5:9" ht="12.75">
      <c r="E222" s="133"/>
      <c r="F222" s="133"/>
      <c r="G222" s="132"/>
      <c r="H222" s="131"/>
      <c r="I222" s="130"/>
    </row>
    <row r="223" spans="5:9" ht="12.75">
      <c r="E223" s="133"/>
      <c r="F223" s="133"/>
      <c r="G223" s="132"/>
      <c r="H223" s="131"/>
      <c r="I223" s="130"/>
    </row>
    <row r="224" spans="5:9" ht="12.75">
      <c r="E224" s="133"/>
      <c r="F224" s="133"/>
      <c r="G224" s="132"/>
      <c r="H224" s="131"/>
      <c r="I224" s="130"/>
    </row>
    <row r="225" spans="5:9" ht="12.75">
      <c r="E225" s="133"/>
      <c r="F225" s="133"/>
      <c r="G225" s="132"/>
      <c r="H225" s="131"/>
      <c r="I225" s="130"/>
    </row>
    <row r="226" spans="5:9" ht="12.75">
      <c r="E226" s="133"/>
      <c r="F226" s="133"/>
      <c r="G226" s="132"/>
      <c r="H226" s="131"/>
      <c r="I226" s="130"/>
    </row>
    <row r="227" spans="5:9" ht="12.75">
      <c r="E227" s="133"/>
      <c r="F227" s="133"/>
      <c r="G227" s="132"/>
      <c r="H227" s="131"/>
      <c r="I227" s="130"/>
    </row>
    <row r="228" spans="5:9" ht="12.75">
      <c r="E228" s="133"/>
      <c r="F228" s="133"/>
      <c r="G228" s="132"/>
      <c r="H228" s="131"/>
      <c r="I228" s="130"/>
    </row>
    <row r="229" spans="5:9" ht="12.75">
      <c r="E229" s="133"/>
      <c r="F229" s="133"/>
      <c r="G229" s="132"/>
      <c r="H229" s="131"/>
      <c r="I229" s="130"/>
    </row>
    <row r="230" spans="5:9" ht="12.75">
      <c r="E230" s="133"/>
      <c r="F230" s="133"/>
      <c r="G230" s="132"/>
      <c r="H230" s="131"/>
      <c r="I230" s="130"/>
    </row>
    <row r="231" spans="5:9" ht="12.75">
      <c r="E231" s="133"/>
      <c r="F231" s="133"/>
      <c r="G231" s="132"/>
      <c r="H231" s="131"/>
      <c r="I231" s="130"/>
    </row>
    <row r="232" spans="5:9" ht="12.75">
      <c r="E232" s="133"/>
      <c r="F232" s="133"/>
      <c r="G232" s="132"/>
      <c r="H232" s="131"/>
      <c r="I232" s="130"/>
    </row>
    <row r="233" spans="5:9" ht="12.75">
      <c r="E233" s="133"/>
      <c r="F233" s="133"/>
      <c r="G233" s="132"/>
      <c r="H233" s="131"/>
      <c r="I233" s="130"/>
    </row>
    <row r="234" spans="5:9" ht="12.75">
      <c r="E234" s="133"/>
      <c r="F234" s="133"/>
      <c r="G234" s="132"/>
      <c r="H234" s="131"/>
      <c r="I234" s="130"/>
    </row>
    <row r="235" spans="5:9" ht="12.75">
      <c r="E235" s="133"/>
      <c r="F235" s="133"/>
      <c r="G235" s="132"/>
      <c r="H235" s="131"/>
      <c r="I235" s="130"/>
    </row>
    <row r="236" spans="5:9" ht="12.75">
      <c r="E236" s="133"/>
      <c r="F236" s="133"/>
      <c r="G236" s="132"/>
      <c r="H236" s="131"/>
      <c r="I236" s="130"/>
    </row>
    <row r="237" spans="5:9" ht="12.75">
      <c r="E237" s="133"/>
      <c r="F237" s="133"/>
      <c r="G237" s="132"/>
      <c r="H237" s="131"/>
      <c r="I237" s="130"/>
    </row>
    <row r="238" spans="5:9" ht="12.75">
      <c r="E238" s="133"/>
      <c r="F238" s="133"/>
      <c r="G238" s="132"/>
      <c r="H238" s="131"/>
      <c r="I238" s="130"/>
    </row>
    <row r="239" spans="5:9" ht="12.75">
      <c r="E239" s="133"/>
      <c r="F239" s="133"/>
      <c r="G239" s="132"/>
      <c r="H239" s="131"/>
      <c r="I239" s="130"/>
    </row>
    <row r="240" spans="5:9" ht="12.75">
      <c r="E240" s="133"/>
      <c r="F240" s="133"/>
      <c r="G240" s="132"/>
      <c r="H240" s="131"/>
      <c r="I240" s="130"/>
    </row>
    <row r="241" spans="5:9" ht="12.75">
      <c r="E241" s="133"/>
      <c r="F241" s="133"/>
      <c r="G241" s="132"/>
      <c r="H241" s="131"/>
      <c r="I241" s="130"/>
    </row>
    <row r="242" spans="5:9" ht="12.75">
      <c r="E242" s="133"/>
      <c r="F242" s="133"/>
      <c r="G242" s="132"/>
      <c r="H242" s="131"/>
      <c r="I242" s="130"/>
    </row>
    <row r="243" spans="5:9" ht="12.75">
      <c r="E243" s="133"/>
      <c r="F243" s="133"/>
      <c r="G243" s="132"/>
      <c r="H243" s="131"/>
      <c r="I243" s="130"/>
    </row>
    <row r="244" spans="5:9" ht="12.75">
      <c r="E244" s="133"/>
      <c r="F244" s="133"/>
      <c r="G244" s="132"/>
      <c r="H244" s="131"/>
      <c r="I244" s="130"/>
    </row>
    <row r="245" spans="5:9" ht="12.75">
      <c r="E245" s="133"/>
      <c r="F245" s="133"/>
      <c r="G245" s="132"/>
      <c r="H245" s="131"/>
      <c r="I245" s="130"/>
    </row>
    <row r="246" spans="5:9" ht="12.75">
      <c r="E246" s="133"/>
      <c r="F246" s="133"/>
      <c r="G246" s="132"/>
      <c r="H246" s="131"/>
      <c r="I246" s="130"/>
    </row>
    <row r="247" spans="5:9" ht="12.75">
      <c r="E247" s="133"/>
      <c r="F247" s="133"/>
      <c r="G247" s="132"/>
      <c r="H247" s="131"/>
      <c r="I247" s="130"/>
    </row>
    <row r="248" spans="5:9" ht="12.75">
      <c r="E248" s="133"/>
      <c r="F248" s="133"/>
      <c r="G248" s="132"/>
      <c r="H248" s="131"/>
      <c r="I248" s="130"/>
    </row>
    <row r="249" spans="5:9" ht="12.75">
      <c r="E249" s="133"/>
      <c r="F249" s="133"/>
      <c r="G249" s="132"/>
      <c r="H249" s="131"/>
      <c r="I249" s="130"/>
    </row>
    <row r="250" spans="5:9" ht="12.75">
      <c r="E250" s="133"/>
      <c r="F250" s="133"/>
      <c r="G250" s="132"/>
      <c r="H250" s="131"/>
      <c r="I250" s="130"/>
    </row>
    <row r="251" spans="5:9" ht="12.75">
      <c r="E251" s="133"/>
      <c r="F251" s="133"/>
      <c r="G251" s="132"/>
      <c r="H251" s="131"/>
      <c r="I251" s="130"/>
    </row>
    <row r="252" spans="5:9" ht="12.75">
      <c r="E252" s="133"/>
      <c r="F252" s="133"/>
      <c r="G252" s="132"/>
      <c r="H252" s="131"/>
      <c r="I252" s="130"/>
    </row>
    <row r="253" spans="5:9" ht="12.75">
      <c r="E253" s="133"/>
      <c r="F253" s="133"/>
      <c r="G253" s="132"/>
      <c r="H253" s="131"/>
      <c r="I253" s="130"/>
    </row>
    <row r="254" spans="5:9" ht="12.75">
      <c r="E254" s="133"/>
      <c r="F254" s="133"/>
      <c r="G254" s="132"/>
      <c r="H254" s="131"/>
      <c r="I254" s="130"/>
    </row>
    <row r="255" spans="5:9" ht="12.75">
      <c r="E255" s="133"/>
      <c r="F255" s="133"/>
      <c r="G255" s="132"/>
      <c r="H255" s="131"/>
      <c r="I255" s="130"/>
    </row>
    <row r="256" spans="5:9" ht="12.75">
      <c r="E256" s="133"/>
      <c r="F256" s="133"/>
      <c r="G256" s="132"/>
      <c r="H256" s="131"/>
      <c r="I256" s="130"/>
    </row>
    <row r="257" spans="5:9" ht="12.75">
      <c r="E257" s="133"/>
      <c r="F257" s="133"/>
      <c r="G257" s="132"/>
      <c r="H257" s="131"/>
      <c r="I257" s="130"/>
    </row>
    <row r="258" spans="5:9" ht="12.75">
      <c r="E258" s="133"/>
      <c r="F258" s="133"/>
      <c r="G258" s="132"/>
      <c r="H258" s="131"/>
      <c r="I258" s="130"/>
    </row>
    <row r="259" spans="5:9" ht="12.75">
      <c r="E259" s="133"/>
      <c r="F259" s="133"/>
      <c r="G259" s="132"/>
      <c r="H259" s="131"/>
      <c r="I259" s="130"/>
    </row>
    <row r="260" spans="5:9" ht="12.75">
      <c r="E260" s="133"/>
      <c r="F260" s="133"/>
      <c r="G260" s="132"/>
      <c r="H260" s="131"/>
      <c r="I260" s="130"/>
    </row>
    <row r="261" spans="5:9" ht="12.75">
      <c r="E261" s="133"/>
      <c r="F261" s="133"/>
      <c r="G261" s="132"/>
      <c r="H261" s="131"/>
      <c r="I261" s="130"/>
    </row>
    <row r="262" spans="5:9" ht="12.75">
      <c r="E262" s="133"/>
      <c r="F262" s="133"/>
      <c r="G262" s="132"/>
      <c r="H262" s="131"/>
      <c r="I262" s="130"/>
    </row>
    <row r="263" spans="5:9" ht="12.75">
      <c r="E263" s="133"/>
      <c r="F263" s="133"/>
      <c r="G263" s="132"/>
      <c r="H263" s="131"/>
      <c r="I263" s="130"/>
    </row>
    <row r="264" spans="5:9" ht="12.75">
      <c r="E264" s="133"/>
      <c r="F264" s="133"/>
      <c r="G264" s="132"/>
      <c r="H264" s="131"/>
      <c r="I264" s="130"/>
    </row>
    <row r="265" spans="5:9" ht="12.75">
      <c r="E265" s="133"/>
      <c r="F265" s="133"/>
      <c r="G265" s="132"/>
      <c r="H265" s="131"/>
      <c r="I265" s="130"/>
    </row>
    <row r="266" spans="5:9" ht="12.75">
      <c r="E266" s="133"/>
      <c r="F266" s="133"/>
      <c r="G266" s="132"/>
      <c r="H266" s="131"/>
      <c r="I266" s="130"/>
    </row>
    <row r="267" spans="5:9" ht="12.75">
      <c r="E267" s="133"/>
      <c r="F267" s="133"/>
      <c r="G267" s="132"/>
      <c r="H267" s="131"/>
      <c r="I267" s="130"/>
    </row>
    <row r="268" spans="5:9" ht="12.75">
      <c r="E268" s="133"/>
      <c r="F268" s="133"/>
      <c r="G268" s="132"/>
      <c r="H268" s="131"/>
      <c r="I268" s="130"/>
    </row>
    <row r="269" spans="5:9" ht="12.75">
      <c r="E269" s="133"/>
      <c r="F269" s="133"/>
      <c r="G269" s="132"/>
      <c r="H269" s="131"/>
      <c r="I269" s="130"/>
    </row>
    <row r="270" spans="5:9" ht="12.75">
      <c r="E270" s="133"/>
      <c r="F270" s="133"/>
      <c r="G270" s="132"/>
      <c r="H270" s="131"/>
      <c r="I270" s="130"/>
    </row>
    <row r="271" spans="5:9" ht="12.75">
      <c r="E271" s="133"/>
      <c r="F271" s="133"/>
      <c r="G271" s="132"/>
      <c r="H271" s="131"/>
      <c r="I271" s="130"/>
    </row>
    <row r="272" spans="5:9" ht="12.75">
      <c r="E272" s="133"/>
      <c r="F272" s="133"/>
      <c r="G272" s="132"/>
      <c r="H272" s="131"/>
      <c r="I272" s="130"/>
    </row>
    <row r="273" spans="5:9" ht="12.75">
      <c r="E273" s="133"/>
      <c r="F273" s="133"/>
      <c r="G273" s="132"/>
      <c r="H273" s="131"/>
      <c r="I273" s="130"/>
    </row>
    <row r="274" spans="5:9" ht="12.75">
      <c r="E274" s="133"/>
      <c r="F274" s="133"/>
      <c r="G274" s="132"/>
      <c r="H274" s="131"/>
      <c r="I274" s="130"/>
    </row>
    <row r="275" spans="5:9" ht="12.75">
      <c r="E275" s="133"/>
      <c r="F275" s="133"/>
      <c r="G275" s="132"/>
      <c r="H275" s="131"/>
      <c r="I275" s="130"/>
    </row>
    <row r="276" spans="5:9" ht="12.75">
      <c r="E276" s="133"/>
      <c r="F276" s="133"/>
      <c r="G276" s="132"/>
      <c r="H276" s="131"/>
      <c r="I276" s="130"/>
    </row>
    <row r="277" spans="5:9" ht="12.75">
      <c r="E277" s="133"/>
      <c r="F277" s="133"/>
      <c r="G277" s="132"/>
      <c r="H277" s="131"/>
      <c r="I277" s="130"/>
    </row>
    <row r="278" spans="5:9" ht="12.75">
      <c r="E278" s="133"/>
      <c r="F278" s="133"/>
      <c r="G278" s="132"/>
      <c r="H278" s="131"/>
      <c r="I278" s="130"/>
    </row>
    <row r="279" spans="5:9" ht="12.75">
      <c r="E279" s="133"/>
      <c r="F279" s="133"/>
      <c r="G279" s="132"/>
      <c r="H279" s="131"/>
      <c r="I279" s="130"/>
    </row>
    <row r="280" spans="5:9" ht="12.75">
      <c r="E280" s="133"/>
      <c r="F280" s="133"/>
      <c r="G280" s="132"/>
      <c r="H280" s="131"/>
      <c r="I280" s="130"/>
    </row>
    <row r="281" spans="5:9" ht="12.75">
      <c r="E281" s="133"/>
      <c r="F281" s="133"/>
      <c r="G281" s="132"/>
      <c r="H281" s="131"/>
      <c r="I281" s="130"/>
    </row>
    <row r="282" spans="5:9" ht="12.75">
      <c r="E282" s="133"/>
      <c r="F282" s="133"/>
      <c r="G282" s="132"/>
      <c r="H282" s="131"/>
      <c r="I282" s="130"/>
    </row>
    <row r="283" spans="5:9" ht="12.75">
      <c r="E283" s="133"/>
      <c r="F283" s="133"/>
      <c r="G283" s="132"/>
      <c r="H283" s="131"/>
      <c r="I283" s="130"/>
    </row>
    <row r="284" spans="5:9" ht="12.75">
      <c r="E284" s="133"/>
      <c r="F284" s="133"/>
      <c r="G284" s="132"/>
      <c r="H284" s="131"/>
      <c r="I284" s="130"/>
    </row>
    <row r="285" spans="5:9" ht="12.75">
      <c r="E285" s="133"/>
      <c r="F285" s="133"/>
      <c r="G285" s="132"/>
      <c r="H285" s="131"/>
      <c r="I285" s="130"/>
    </row>
    <row r="286" spans="5:9" ht="12.75">
      <c r="E286" s="133"/>
      <c r="F286" s="133"/>
      <c r="G286" s="132"/>
      <c r="H286" s="131"/>
      <c r="I286" s="130"/>
    </row>
    <row r="287" spans="5:9" ht="12.75">
      <c r="E287" s="133"/>
      <c r="F287" s="133"/>
      <c r="G287" s="132"/>
      <c r="H287" s="131"/>
      <c r="I287" s="130"/>
    </row>
    <row r="288" spans="5:9" ht="12.75">
      <c r="E288" s="133"/>
      <c r="F288" s="133"/>
      <c r="G288" s="132"/>
      <c r="H288" s="131"/>
      <c r="I288" s="130"/>
    </row>
    <row r="289" spans="5:9" ht="12.75">
      <c r="E289" s="133"/>
      <c r="F289" s="133"/>
      <c r="G289" s="132"/>
      <c r="H289" s="131"/>
      <c r="I289" s="130"/>
    </row>
    <row r="290" spans="5:9" ht="12.75">
      <c r="E290" s="133"/>
      <c r="F290" s="133"/>
      <c r="G290" s="132"/>
      <c r="H290" s="131"/>
      <c r="I290" s="130"/>
    </row>
    <row r="291" spans="5:9" ht="12.75">
      <c r="E291" s="133"/>
      <c r="F291" s="133"/>
      <c r="G291" s="132"/>
      <c r="H291" s="131"/>
      <c r="I291" s="130"/>
    </row>
    <row r="292" spans="5:9" ht="12.75">
      <c r="E292" s="133"/>
      <c r="F292" s="133"/>
      <c r="G292" s="132"/>
      <c r="H292" s="131"/>
      <c r="I292" s="130"/>
    </row>
    <row r="293" spans="5:9" ht="12.75">
      <c r="E293" s="133"/>
      <c r="F293" s="133"/>
      <c r="G293" s="132"/>
      <c r="H293" s="131"/>
      <c r="I293" s="130"/>
    </row>
    <row r="294" spans="5:9" ht="12.75">
      <c r="E294" s="133"/>
      <c r="F294" s="133"/>
      <c r="G294" s="132"/>
      <c r="H294" s="131"/>
      <c r="I294" s="130"/>
    </row>
    <row r="295" spans="5:9" ht="12.75">
      <c r="E295" s="133"/>
      <c r="F295" s="133"/>
      <c r="G295" s="132"/>
      <c r="H295" s="131"/>
      <c r="I295" s="130"/>
    </row>
    <row r="296" spans="5:9" ht="12.75">
      <c r="E296" s="133"/>
      <c r="F296" s="133"/>
      <c r="G296" s="132"/>
      <c r="H296" s="131"/>
      <c r="I296" s="130"/>
    </row>
    <row r="297" spans="5:9" ht="12.75">
      <c r="E297" s="133"/>
      <c r="F297" s="133"/>
      <c r="G297" s="132"/>
      <c r="H297" s="131"/>
      <c r="I297" s="130"/>
    </row>
    <row r="298" spans="5:9" ht="12.75">
      <c r="E298" s="133"/>
      <c r="F298" s="133"/>
      <c r="G298" s="132"/>
      <c r="H298" s="131"/>
      <c r="I298" s="130"/>
    </row>
    <row r="299" spans="5:9" ht="12.75">
      <c r="E299" s="133"/>
      <c r="F299" s="133"/>
      <c r="G299" s="132"/>
      <c r="H299" s="131"/>
      <c r="I299" s="130"/>
    </row>
    <row r="300" spans="5:9" ht="12.75">
      <c r="E300" s="133"/>
      <c r="F300" s="133"/>
      <c r="G300" s="132"/>
      <c r="H300" s="131"/>
      <c r="I300" s="130"/>
    </row>
    <row r="301" spans="5:9" ht="12.75">
      <c r="E301" s="133"/>
      <c r="F301" s="133"/>
      <c r="G301" s="132"/>
      <c r="H301" s="131"/>
      <c r="I301" s="130"/>
    </row>
    <row r="302" spans="5:9" ht="12.75">
      <c r="E302" s="133"/>
      <c r="F302" s="133"/>
      <c r="G302" s="132"/>
      <c r="H302" s="131"/>
      <c r="I302" s="130"/>
    </row>
    <row r="303" spans="5:9" ht="12.75">
      <c r="E303" s="133"/>
      <c r="F303" s="133"/>
      <c r="G303" s="132"/>
      <c r="H303" s="131"/>
      <c r="I303" s="130"/>
    </row>
    <row r="304" spans="5:9" ht="12.75">
      <c r="E304" s="133"/>
      <c r="F304" s="133"/>
      <c r="G304" s="132"/>
      <c r="H304" s="131"/>
      <c r="I304" s="130"/>
    </row>
    <row r="305" spans="5:9" ht="12.75">
      <c r="E305" s="133"/>
      <c r="F305" s="133"/>
      <c r="G305" s="132"/>
      <c r="H305" s="131"/>
      <c r="I305" s="130"/>
    </row>
    <row r="306" spans="5:9" ht="12.75">
      <c r="E306" s="133"/>
      <c r="F306" s="133"/>
      <c r="G306" s="132"/>
      <c r="H306" s="131"/>
      <c r="I306" s="130"/>
    </row>
    <row r="307" spans="5:9" ht="12.75">
      <c r="E307" s="133"/>
      <c r="F307" s="133"/>
      <c r="G307" s="132"/>
      <c r="H307" s="131"/>
      <c r="I307" s="130"/>
    </row>
    <row r="308" spans="5:9" ht="12.75">
      <c r="E308" s="133"/>
      <c r="F308" s="133"/>
      <c r="G308" s="132"/>
      <c r="H308" s="131"/>
      <c r="I308" s="130"/>
    </row>
    <row r="309" spans="5:9" ht="12.75">
      <c r="E309" s="133"/>
      <c r="F309" s="133"/>
      <c r="G309" s="132"/>
      <c r="H309" s="131"/>
      <c r="I309" s="130"/>
    </row>
    <row r="310" spans="5:9" ht="12.75">
      <c r="E310" s="133"/>
      <c r="F310" s="133"/>
      <c r="G310" s="132"/>
      <c r="H310" s="131"/>
      <c r="I310" s="130"/>
    </row>
    <row r="311" spans="5:9" ht="12.75">
      <c r="E311" s="133"/>
      <c r="F311" s="133"/>
      <c r="G311" s="132"/>
      <c r="H311" s="131"/>
      <c r="I311" s="130"/>
    </row>
    <row r="312" spans="5:9" ht="12.75">
      <c r="E312" s="133"/>
      <c r="F312" s="133"/>
      <c r="G312" s="132"/>
      <c r="H312" s="131"/>
      <c r="I312" s="130"/>
    </row>
    <row r="313" spans="5:9" ht="12.75">
      <c r="E313" s="133"/>
      <c r="F313" s="133"/>
      <c r="G313" s="132"/>
      <c r="H313" s="131"/>
      <c r="I313" s="130"/>
    </row>
    <row r="314" spans="5:9" ht="12.75">
      <c r="E314" s="133"/>
      <c r="F314" s="133"/>
      <c r="G314" s="132"/>
      <c r="H314" s="131"/>
      <c r="I314" s="130"/>
    </row>
    <row r="315" spans="5:9" ht="12.75">
      <c r="E315" s="133"/>
      <c r="F315" s="133"/>
      <c r="G315" s="132"/>
      <c r="H315" s="131"/>
      <c r="I315" s="130"/>
    </row>
    <row r="316" spans="5:9" ht="12.75">
      <c r="E316" s="133"/>
      <c r="F316" s="133"/>
      <c r="G316" s="132"/>
      <c r="H316" s="131"/>
      <c r="I316" s="130"/>
    </row>
    <row r="317" spans="5:9" ht="12.75">
      <c r="E317" s="133"/>
      <c r="F317" s="133"/>
      <c r="G317" s="132"/>
      <c r="H317" s="131"/>
      <c r="I317" s="130"/>
    </row>
    <row r="318" spans="5:9" ht="12.75">
      <c r="E318" s="133"/>
      <c r="F318" s="133"/>
      <c r="G318" s="132"/>
      <c r="H318" s="131"/>
      <c r="I318" s="130"/>
    </row>
    <row r="319" spans="5:9" ht="12.75">
      <c r="E319" s="133"/>
      <c r="F319" s="133"/>
      <c r="G319" s="132"/>
      <c r="H319" s="131"/>
      <c r="I319" s="130"/>
    </row>
    <row r="320" spans="5:9" ht="12.75">
      <c r="E320" s="133"/>
      <c r="F320" s="133"/>
      <c r="G320" s="132"/>
      <c r="H320" s="131"/>
      <c r="I320" s="130"/>
    </row>
    <row r="321" spans="5:9" ht="12.75">
      <c r="E321" s="133"/>
      <c r="F321" s="133"/>
      <c r="G321" s="132"/>
      <c r="H321" s="131"/>
      <c r="I321" s="130"/>
    </row>
    <row r="322" spans="5:9" ht="12.75">
      <c r="E322" s="133"/>
      <c r="F322" s="133"/>
      <c r="G322" s="132"/>
      <c r="H322" s="131"/>
      <c r="I322" s="130"/>
    </row>
    <row r="323" spans="5:9" ht="12.75">
      <c r="E323" s="133"/>
      <c r="F323" s="133"/>
      <c r="G323" s="132"/>
      <c r="H323" s="131"/>
      <c r="I323" s="130"/>
    </row>
    <row r="324" spans="5:9" ht="12.75">
      <c r="E324" s="133"/>
      <c r="F324" s="133"/>
      <c r="G324" s="132"/>
      <c r="H324" s="131"/>
      <c r="I324" s="130"/>
    </row>
    <row r="325" spans="5:9" ht="12.75">
      <c r="E325" s="133"/>
      <c r="F325" s="133"/>
      <c r="G325" s="132"/>
      <c r="H325" s="131"/>
      <c r="I325" s="130"/>
    </row>
    <row r="326" spans="5:9" ht="12.75">
      <c r="E326" s="133"/>
      <c r="F326" s="133"/>
      <c r="G326" s="132"/>
      <c r="H326" s="131"/>
      <c r="I326" s="130"/>
    </row>
    <row r="327" spans="5:9" ht="12.75">
      <c r="E327" s="133"/>
      <c r="F327" s="133"/>
      <c r="G327" s="132"/>
      <c r="H327" s="131"/>
      <c r="I327" s="130"/>
    </row>
    <row r="328" spans="5:9" ht="12.75">
      <c r="E328" s="133"/>
      <c r="F328" s="133"/>
      <c r="G328" s="132"/>
      <c r="H328" s="131"/>
      <c r="I328" s="130"/>
    </row>
    <row r="329" spans="5:9" ht="12.75">
      <c r="E329" s="133"/>
      <c r="F329" s="133"/>
      <c r="G329" s="132"/>
      <c r="H329" s="131"/>
      <c r="I329" s="130"/>
    </row>
    <row r="330" spans="5:9" ht="12.75">
      <c r="E330" s="133"/>
      <c r="F330" s="133"/>
      <c r="G330" s="132"/>
      <c r="H330" s="131"/>
      <c r="I330" s="130"/>
    </row>
    <row r="331" spans="5:9" ht="12.75">
      <c r="E331" s="133"/>
      <c r="F331" s="133"/>
      <c r="G331" s="132"/>
      <c r="H331" s="131"/>
      <c r="I331" s="130"/>
    </row>
    <row r="332" spans="5:9" ht="12.75">
      <c r="E332" s="133"/>
      <c r="F332" s="133"/>
      <c r="G332" s="132"/>
      <c r="H332" s="131"/>
      <c r="I332" s="130"/>
    </row>
    <row r="333" spans="5:9" ht="12.75">
      <c r="E333" s="133"/>
      <c r="F333" s="133"/>
      <c r="G333" s="132"/>
      <c r="H333" s="131"/>
      <c r="I333" s="130"/>
    </row>
    <row r="334" spans="5:9" ht="12.75">
      <c r="E334" s="133"/>
      <c r="F334" s="133"/>
      <c r="G334" s="132"/>
      <c r="H334" s="131"/>
      <c r="I334" s="130"/>
    </row>
    <row r="335" spans="5:9" ht="12.75">
      <c r="E335" s="133"/>
      <c r="F335" s="133"/>
      <c r="G335" s="132"/>
      <c r="H335" s="131"/>
      <c r="I335" s="130"/>
    </row>
    <row r="336" spans="5:9" ht="12.75">
      <c r="E336" s="133"/>
      <c r="F336" s="133"/>
      <c r="G336" s="132"/>
      <c r="H336" s="131"/>
      <c r="I336" s="130"/>
    </row>
    <row r="337" spans="5:9" ht="12.75">
      <c r="E337" s="133"/>
      <c r="F337" s="133"/>
      <c r="G337" s="132"/>
      <c r="H337" s="131"/>
      <c r="I337" s="130"/>
    </row>
    <row r="338" spans="5:9" ht="12.75">
      <c r="E338" s="133"/>
      <c r="F338" s="133"/>
      <c r="G338" s="132"/>
      <c r="H338" s="131"/>
      <c r="I338" s="130"/>
    </row>
    <row r="339" spans="5:9" ht="12.75">
      <c r="E339" s="133"/>
      <c r="F339" s="133"/>
      <c r="G339" s="132"/>
      <c r="H339" s="131"/>
      <c r="I339" s="130"/>
    </row>
    <row r="340" spans="5:9" ht="12.75">
      <c r="E340" s="133"/>
      <c r="F340" s="133"/>
      <c r="G340" s="132"/>
      <c r="H340" s="131"/>
      <c r="I340" s="130"/>
    </row>
    <row r="341" spans="5:9" ht="12.75">
      <c r="E341" s="133"/>
      <c r="F341" s="133"/>
      <c r="G341" s="132"/>
      <c r="H341" s="131"/>
      <c r="I341" s="130"/>
    </row>
    <row r="342" spans="5:9" ht="12.75">
      <c r="E342" s="133"/>
      <c r="F342" s="133"/>
      <c r="G342" s="132"/>
      <c r="H342" s="131"/>
      <c r="I342" s="130"/>
    </row>
    <row r="343" spans="5:9" ht="12.75">
      <c r="E343" s="133"/>
      <c r="F343" s="133"/>
      <c r="G343" s="132"/>
      <c r="H343" s="131"/>
      <c r="I343" s="130"/>
    </row>
    <row r="344" spans="5:9" ht="12.75">
      <c r="E344" s="133"/>
      <c r="F344" s="133"/>
      <c r="G344" s="132"/>
      <c r="H344" s="131"/>
      <c r="I344" s="130"/>
    </row>
    <row r="345" spans="5:9" ht="12.75">
      <c r="E345" s="133"/>
      <c r="F345" s="133"/>
      <c r="G345" s="132"/>
      <c r="H345" s="131"/>
      <c r="I345" s="130"/>
    </row>
    <row r="346" spans="5:9" ht="12.75">
      <c r="E346" s="133"/>
      <c r="F346" s="133"/>
      <c r="G346" s="132"/>
      <c r="H346" s="131"/>
      <c r="I346" s="130"/>
    </row>
    <row r="347" spans="5:9" ht="12.75">
      <c r="E347" s="133"/>
      <c r="F347" s="133"/>
      <c r="G347" s="132"/>
      <c r="H347" s="131"/>
      <c r="I347" s="130"/>
    </row>
    <row r="348" spans="5:9" ht="12.75">
      <c r="E348" s="133"/>
      <c r="F348" s="133"/>
      <c r="G348" s="132"/>
      <c r="H348" s="131"/>
      <c r="I348" s="130"/>
    </row>
    <row r="349" spans="5:9" ht="12.75">
      <c r="E349" s="133"/>
      <c r="F349" s="133"/>
      <c r="G349" s="132"/>
      <c r="H349" s="131"/>
      <c r="I349" s="130"/>
    </row>
    <row r="350" spans="5:9" ht="12.75">
      <c r="E350" s="133"/>
      <c r="F350" s="133"/>
      <c r="G350" s="132"/>
      <c r="H350" s="131"/>
      <c r="I350" s="130"/>
    </row>
    <row r="351" spans="5:9" ht="12.75">
      <c r="E351" s="133"/>
      <c r="F351" s="133"/>
      <c r="G351" s="132"/>
      <c r="H351" s="131"/>
      <c r="I351" s="130"/>
    </row>
    <row r="352" spans="5:9" ht="12.75">
      <c r="E352" s="133"/>
      <c r="F352" s="133"/>
      <c r="G352" s="132"/>
      <c r="H352" s="131"/>
      <c r="I352" s="130"/>
    </row>
    <row r="353" spans="5:9" ht="12.75">
      <c r="E353" s="133"/>
      <c r="F353" s="133"/>
      <c r="G353" s="132"/>
      <c r="H353" s="131"/>
      <c r="I353" s="130"/>
    </row>
    <row r="354" spans="5:9" ht="12.75">
      <c r="E354" s="133"/>
      <c r="F354" s="133"/>
      <c r="G354" s="132"/>
      <c r="H354" s="131"/>
      <c r="I354" s="130"/>
    </row>
    <row r="355" spans="5:9" ht="12.75">
      <c r="E355" s="133"/>
      <c r="F355" s="133"/>
      <c r="G355" s="132"/>
      <c r="H355" s="131"/>
      <c r="I355" s="130"/>
    </row>
    <row r="356" spans="5:9" ht="12.75">
      <c r="E356" s="133"/>
      <c r="F356" s="133"/>
      <c r="G356" s="132"/>
      <c r="H356" s="131"/>
      <c r="I356" s="130"/>
    </row>
    <row r="357" spans="5:9" ht="12.75">
      <c r="E357" s="133"/>
      <c r="F357" s="133"/>
      <c r="G357" s="132"/>
      <c r="H357" s="131"/>
      <c r="I357" s="130"/>
    </row>
    <row r="358" spans="5:9" ht="12.75">
      <c r="E358" s="133"/>
      <c r="F358" s="133"/>
      <c r="G358" s="132"/>
      <c r="H358" s="131"/>
      <c r="I358" s="130"/>
    </row>
    <row r="359" spans="5:9" ht="12.75">
      <c r="E359" s="133"/>
      <c r="F359" s="133"/>
      <c r="G359" s="132"/>
      <c r="H359" s="131"/>
      <c r="I359" s="130"/>
    </row>
    <row r="360" spans="5:9" ht="12.75">
      <c r="E360" s="133"/>
      <c r="F360" s="133"/>
      <c r="G360" s="132"/>
      <c r="H360" s="131"/>
      <c r="I360" s="130"/>
    </row>
    <row r="361" spans="5:9" ht="12.75">
      <c r="E361" s="133"/>
      <c r="F361" s="133"/>
      <c r="G361" s="132"/>
      <c r="H361" s="131"/>
      <c r="I361" s="130"/>
    </row>
    <row r="362" spans="5:9" ht="12.75">
      <c r="E362" s="133"/>
      <c r="F362" s="133"/>
      <c r="G362" s="132"/>
      <c r="H362" s="131"/>
      <c r="I362" s="130"/>
    </row>
    <row r="363" spans="5:9" ht="12.75">
      <c r="E363" s="133"/>
      <c r="F363" s="133"/>
      <c r="G363" s="132"/>
      <c r="H363" s="131"/>
      <c r="I363" s="130"/>
    </row>
    <row r="364" spans="5:9" ht="12.75">
      <c r="E364" s="133"/>
      <c r="F364" s="133"/>
      <c r="G364" s="132"/>
      <c r="H364" s="131"/>
      <c r="I364" s="130"/>
    </row>
    <row r="365" spans="5:9" ht="12.75">
      <c r="E365" s="133"/>
      <c r="F365" s="133"/>
      <c r="G365" s="132"/>
      <c r="H365" s="131"/>
      <c r="I365" s="130"/>
    </row>
    <row r="366" spans="5:9" ht="12.75">
      <c r="E366" s="133"/>
      <c r="F366" s="133"/>
      <c r="G366" s="132"/>
      <c r="H366" s="131"/>
      <c r="I366" s="130"/>
    </row>
    <row r="367" spans="5:9" ht="12.75">
      <c r="E367" s="133"/>
      <c r="F367" s="133"/>
      <c r="G367" s="132"/>
      <c r="H367" s="131"/>
      <c r="I367" s="130"/>
    </row>
    <row r="368" spans="5:9" ht="12.75">
      <c r="E368" s="133"/>
      <c r="F368" s="133"/>
      <c r="G368" s="132"/>
      <c r="H368" s="131"/>
      <c r="I368" s="130"/>
    </row>
    <row r="369" spans="5:9" ht="12.75">
      <c r="E369" s="133"/>
      <c r="F369" s="133"/>
      <c r="G369" s="132"/>
      <c r="H369" s="131"/>
      <c r="I369" s="130"/>
    </row>
    <row r="370" spans="5:9" ht="12.75">
      <c r="E370" s="133"/>
      <c r="F370" s="133"/>
      <c r="G370" s="132"/>
      <c r="H370" s="131"/>
      <c r="I370" s="130"/>
    </row>
    <row r="371" spans="5:9" ht="12.75">
      <c r="E371" s="133"/>
      <c r="F371" s="133"/>
      <c r="G371" s="132"/>
      <c r="H371" s="131"/>
      <c r="I371" s="130"/>
    </row>
    <row r="372" spans="5:9" ht="12.75">
      <c r="E372" s="133"/>
      <c r="F372" s="133"/>
      <c r="G372" s="132"/>
      <c r="H372" s="131"/>
      <c r="I372" s="130"/>
    </row>
    <row r="373" spans="5:9" ht="12.75">
      <c r="E373" s="133"/>
      <c r="F373" s="133"/>
      <c r="G373" s="132"/>
      <c r="H373" s="131"/>
      <c r="I373" s="130"/>
    </row>
    <row r="374" spans="5:9" ht="12.75">
      <c r="E374" s="133"/>
      <c r="F374" s="133"/>
      <c r="G374" s="132"/>
      <c r="H374" s="131"/>
      <c r="I374" s="130"/>
    </row>
    <row r="375" spans="5:9" ht="12.75">
      <c r="E375" s="133"/>
      <c r="F375" s="133"/>
      <c r="G375" s="132"/>
      <c r="H375" s="131"/>
      <c r="I375" s="130"/>
    </row>
    <row r="376" spans="5:9" ht="12.75">
      <c r="E376" s="133"/>
      <c r="F376" s="133"/>
      <c r="G376" s="132"/>
      <c r="H376" s="131"/>
      <c r="I376" s="130"/>
    </row>
    <row r="377" spans="5:9" ht="12.75">
      <c r="E377" s="133"/>
      <c r="F377" s="133"/>
      <c r="G377" s="132"/>
      <c r="H377" s="131"/>
      <c r="I377" s="130"/>
    </row>
    <row r="378" spans="5:9" ht="12.75">
      <c r="E378" s="133"/>
      <c r="F378" s="133"/>
      <c r="G378" s="132"/>
      <c r="H378" s="131"/>
      <c r="I378" s="130"/>
    </row>
    <row r="379" spans="5:9" ht="12.75">
      <c r="E379" s="133"/>
      <c r="F379" s="133"/>
      <c r="G379" s="132"/>
      <c r="H379" s="131"/>
      <c r="I379" s="130"/>
    </row>
    <row r="380" spans="5:9" ht="12.75">
      <c r="E380" s="133"/>
      <c r="F380" s="133"/>
      <c r="G380" s="132"/>
      <c r="H380" s="131"/>
      <c r="I380" s="130"/>
    </row>
    <row r="381" spans="5:9" ht="12.75">
      <c r="E381" s="133"/>
      <c r="F381" s="133"/>
      <c r="G381" s="132"/>
      <c r="H381" s="131"/>
      <c r="I381" s="130"/>
    </row>
    <row r="382" spans="5:9" ht="12.75">
      <c r="E382" s="133"/>
      <c r="F382" s="133"/>
      <c r="G382" s="132"/>
      <c r="H382" s="131"/>
      <c r="I382" s="130"/>
    </row>
    <row r="383" spans="5:9" ht="12.75">
      <c r="E383" s="133"/>
      <c r="F383" s="133"/>
      <c r="G383" s="132"/>
      <c r="H383" s="131"/>
      <c r="I383" s="130"/>
    </row>
    <row r="384" spans="5:9" ht="12.75">
      <c r="E384" s="133"/>
      <c r="F384" s="133"/>
      <c r="G384" s="132"/>
      <c r="H384" s="131"/>
      <c r="I384" s="130"/>
    </row>
    <row r="385" spans="5:9" ht="12.75">
      <c r="E385" s="133"/>
      <c r="F385" s="133"/>
      <c r="G385" s="132"/>
      <c r="H385" s="131"/>
      <c r="I385" s="130"/>
    </row>
    <row r="386" spans="5:9" ht="12.75">
      <c r="E386" s="133"/>
      <c r="F386" s="133"/>
      <c r="G386" s="132"/>
      <c r="H386" s="131"/>
      <c r="I386" s="130"/>
    </row>
    <row r="387" spans="5:9" ht="12.75">
      <c r="E387" s="133"/>
      <c r="F387" s="133"/>
      <c r="G387" s="132"/>
      <c r="H387" s="131"/>
      <c r="I387" s="130"/>
    </row>
    <row r="388" spans="5:9" ht="12.75">
      <c r="E388" s="133"/>
      <c r="F388" s="133"/>
      <c r="G388" s="132"/>
      <c r="H388" s="131"/>
      <c r="I388" s="130"/>
    </row>
    <row r="389" spans="5:9" ht="12.75">
      <c r="E389" s="133"/>
      <c r="F389" s="133"/>
      <c r="G389" s="132"/>
      <c r="H389" s="131"/>
      <c r="I389" s="130"/>
    </row>
    <row r="390" spans="5:9" ht="12.75">
      <c r="E390" s="133"/>
      <c r="F390" s="133"/>
      <c r="G390" s="132"/>
      <c r="H390" s="131"/>
      <c r="I390" s="130"/>
    </row>
    <row r="391" spans="5:9" ht="12.75">
      <c r="E391" s="133"/>
      <c r="F391" s="133"/>
      <c r="G391" s="132"/>
      <c r="H391" s="131"/>
      <c r="I391" s="130"/>
    </row>
    <row r="392" spans="5:9" ht="12.75">
      <c r="E392" s="133"/>
      <c r="F392" s="133"/>
      <c r="G392" s="132"/>
      <c r="H392" s="131"/>
      <c r="I392" s="130"/>
    </row>
    <row r="393" spans="5:9" ht="12.75">
      <c r="E393" s="133"/>
      <c r="F393" s="133"/>
      <c r="G393" s="132"/>
      <c r="H393" s="131"/>
      <c r="I393" s="130"/>
    </row>
    <row r="394" spans="5:9" ht="12.75">
      <c r="E394" s="133"/>
      <c r="F394" s="133"/>
      <c r="G394" s="132"/>
      <c r="H394" s="131"/>
      <c r="I394" s="130"/>
    </row>
    <row r="395" spans="5:9" ht="12.75">
      <c r="E395" s="133"/>
      <c r="F395" s="133"/>
      <c r="G395" s="132"/>
      <c r="H395" s="131"/>
      <c r="I395" s="130"/>
    </row>
    <row r="396" spans="5:9" ht="12.75">
      <c r="E396" s="133"/>
      <c r="F396" s="133"/>
      <c r="G396" s="132"/>
      <c r="H396" s="131"/>
      <c r="I396" s="130"/>
    </row>
    <row r="397" spans="5:9" ht="12.75">
      <c r="E397" s="133"/>
      <c r="F397" s="133"/>
      <c r="G397" s="132"/>
      <c r="H397" s="131"/>
      <c r="I397" s="130"/>
    </row>
    <row r="398" spans="5:9" ht="12.75">
      <c r="E398" s="133"/>
      <c r="F398" s="133"/>
      <c r="G398" s="132"/>
      <c r="H398" s="131"/>
      <c r="I398" s="130"/>
    </row>
    <row r="399" spans="5:9" ht="12.75">
      <c r="E399" s="133"/>
      <c r="F399" s="133"/>
      <c r="G399" s="132"/>
      <c r="H399" s="131"/>
      <c r="I399" s="130"/>
    </row>
    <row r="400" spans="5:9" ht="12.75">
      <c r="E400" s="133"/>
      <c r="F400" s="133"/>
      <c r="G400" s="132"/>
      <c r="H400" s="131"/>
      <c r="I400" s="130"/>
    </row>
    <row r="401" spans="5:9" ht="12.75">
      <c r="E401" s="133"/>
      <c r="F401" s="133"/>
      <c r="G401" s="132"/>
      <c r="H401" s="131"/>
      <c r="I401" s="130"/>
    </row>
    <row r="402" spans="5:9" ht="12.75">
      <c r="E402" s="133"/>
      <c r="F402" s="133"/>
      <c r="G402" s="132"/>
      <c r="H402" s="131"/>
      <c r="I402" s="130"/>
    </row>
    <row r="403" spans="5:9" ht="12.75">
      <c r="E403" s="133"/>
      <c r="F403" s="133"/>
      <c r="G403" s="132"/>
      <c r="H403" s="131"/>
      <c r="I403" s="130"/>
    </row>
    <row r="404" spans="5:9" ht="12.75">
      <c r="E404" s="133"/>
      <c r="F404" s="133"/>
      <c r="G404" s="132"/>
      <c r="H404" s="131"/>
      <c r="I404" s="130"/>
    </row>
    <row r="405" spans="5:9" ht="12.75">
      <c r="E405" s="133"/>
      <c r="F405" s="133"/>
      <c r="G405" s="132"/>
      <c r="H405" s="131"/>
      <c r="I405" s="130"/>
    </row>
    <row r="406" spans="5:9" ht="12.75">
      <c r="E406" s="133"/>
      <c r="F406" s="133"/>
      <c r="G406" s="132"/>
      <c r="H406" s="131"/>
      <c r="I406" s="130"/>
    </row>
    <row r="407" spans="5:9" ht="12.75">
      <c r="E407" s="133"/>
      <c r="F407" s="133"/>
      <c r="G407" s="132"/>
      <c r="H407" s="131"/>
      <c r="I407" s="130"/>
    </row>
    <row r="408" spans="5:9" ht="12.75">
      <c r="E408" s="133"/>
      <c r="F408" s="133"/>
      <c r="G408" s="132"/>
      <c r="H408" s="131"/>
      <c r="I408" s="130"/>
    </row>
    <row r="409" spans="5:9" ht="12.75">
      <c r="E409" s="133"/>
      <c r="F409" s="133"/>
      <c r="G409" s="132"/>
      <c r="H409" s="131"/>
      <c r="I409" s="130"/>
    </row>
    <row r="410" spans="5:9" ht="12.75">
      <c r="E410" s="133"/>
      <c r="F410" s="133"/>
      <c r="G410" s="132"/>
      <c r="H410" s="131"/>
      <c r="I410" s="130"/>
    </row>
    <row r="411" spans="5:9" ht="12.75">
      <c r="E411" s="133"/>
      <c r="F411" s="133"/>
      <c r="G411" s="132"/>
      <c r="H411" s="131"/>
      <c r="I411" s="130"/>
    </row>
    <row r="412" spans="5:9" ht="12.75">
      <c r="E412" s="133"/>
      <c r="F412" s="133"/>
      <c r="G412" s="132"/>
      <c r="H412" s="131"/>
      <c r="I412" s="130"/>
    </row>
    <row r="413" spans="5:9" ht="12.75">
      <c r="E413" s="133"/>
      <c r="F413" s="133"/>
      <c r="G413" s="132"/>
      <c r="H413" s="131"/>
      <c r="I413" s="130"/>
    </row>
    <row r="414" spans="5:9" ht="12.75">
      <c r="E414" s="133"/>
      <c r="F414" s="133"/>
      <c r="G414" s="132"/>
      <c r="H414" s="131"/>
      <c r="I414" s="130"/>
    </row>
    <row r="415" spans="5:9" ht="12.75">
      <c r="E415" s="133"/>
      <c r="F415" s="133"/>
      <c r="G415" s="132"/>
      <c r="H415" s="131"/>
      <c r="I415" s="130"/>
    </row>
    <row r="416" spans="5:9" ht="12.75">
      <c r="E416" s="133"/>
      <c r="F416" s="133"/>
      <c r="G416" s="132"/>
      <c r="H416" s="131"/>
      <c r="I416" s="130"/>
    </row>
    <row r="417" spans="5:9" ht="12.75">
      <c r="E417" s="133"/>
      <c r="F417" s="133"/>
      <c r="G417" s="132"/>
      <c r="H417" s="131"/>
      <c r="I417" s="130"/>
    </row>
    <row r="418" spans="5:9" ht="12.75">
      <c r="E418" s="133"/>
      <c r="F418" s="133"/>
      <c r="G418" s="132"/>
      <c r="H418" s="131"/>
      <c r="I418" s="130"/>
    </row>
    <row r="419" spans="5:9" ht="12.75">
      <c r="E419" s="133"/>
      <c r="F419" s="133"/>
      <c r="G419" s="132"/>
      <c r="H419" s="131"/>
      <c r="I419" s="130"/>
    </row>
    <row r="420" spans="5:9" ht="12.75">
      <c r="E420" s="133"/>
      <c r="F420" s="133"/>
      <c r="G420" s="132"/>
      <c r="H420" s="131"/>
      <c r="I420" s="130"/>
    </row>
    <row r="421" spans="5:9" ht="12.75">
      <c r="E421" s="133"/>
      <c r="F421" s="133"/>
      <c r="G421" s="132"/>
      <c r="H421" s="131"/>
      <c r="I421" s="130"/>
    </row>
    <row r="422" spans="5:9" ht="12.75">
      <c r="E422" s="133"/>
      <c r="F422" s="133"/>
      <c r="G422" s="132"/>
      <c r="H422" s="131"/>
      <c r="I422" s="130"/>
    </row>
    <row r="423" spans="5:9" ht="12.75">
      <c r="E423" s="133"/>
      <c r="F423" s="133"/>
      <c r="G423" s="132"/>
      <c r="H423" s="131"/>
      <c r="I423" s="130"/>
    </row>
    <row r="424" spans="5:9" ht="12.75">
      <c r="E424" s="133"/>
      <c r="F424" s="133"/>
      <c r="G424" s="132"/>
      <c r="H424" s="131"/>
      <c r="I424" s="130"/>
    </row>
    <row r="425" spans="5:9" ht="12.75">
      <c r="E425" s="133"/>
      <c r="F425" s="133"/>
      <c r="G425" s="132"/>
      <c r="H425" s="131"/>
      <c r="I425" s="130"/>
    </row>
    <row r="426" spans="5:9" ht="12.75">
      <c r="E426" s="133"/>
      <c r="F426" s="133"/>
      <c r="G426" s="132"/>
      <c r="H426" s="131"/>
      <c r="I426" s="130"/>
    </row>
    <row r="427" spans="5:9" ht="12.75">
      <c r="E427" s="133"/>
      <c r="F427" s="133"/>
      <c r="G427" s="132"/>
      <c r="H427" s="131"/>
      <c r="I427" s="130"/>
    </row>
    <row r="428" spans="5:9" ht="12.75">
      <c r="E428" s="133"/>
      <c r="F428" s="133"/>
      <c r="G428" s="132"/>
      <c r="H428" s="131"/>
      <c r="I428" s="130"/>
    </row>
    <row r="429" spans="5:9" ht="12.75">
      <c r="E429" s="133"/>
      <c r="F429" s="133"/>
      <c r="G429" s="132"/>
      <c r="H429" s="131"/>
      <c r="I429" s="130"/>
    </row>
    <row r="430" spans="5:9" ht="12.75">
      <c r="E430" s="133"/>
      <c r="F430" s="133"/>
      <c r="G430" s="132"/>
      <c r="H430" s="131"/>
      <c r="I430" s="130"/>
    </row>
    <row r="431" spans="5:9" ht="12.75">
      <c r="E431" s="133"/>
      <c r="F431" s="133"/>
      <c r="G431" s="132"/>
      <c r="H431" s="131"/>
      <c r="I431" s="130"/>
    </row>
    <row r="432" spans="5:9" ht="12.75">
      <c r="E432" s="133"/>
      <c r="F432" s="133"/>
      <c r="G432" s="132"/>
      <c r="H432" s="131"/>
      <c r="I432" s="130"/>
    </row>
    <row r="433" spans="5:9" ht="12.75">
      <c r="E433" s="133"/>
      <c r="F433" s="133"/>
      <c r="G433" s="132"/>
      <c r="H433" s="131"/>
      <c r="I433" s="130"/>
    </row>
    <row r="434" spans="5:9" ht="12.75">
      <c r="E434" s="133"/>
      <c r="F434" s="133"/>
      <c r="G434" s="132"/>
      <c r="H434" s="131"/>
      <c r="I434" s="130"/>
    </row>
    <row r="435" spans="5:9" ht="12.75">
      <c r="E435" s="133"/>
      <c r="F435" s="133"/>
      <c r="G435" s="132"/>
      <c r="H435" s="131"/>
      <c r="I435" s="130"/>
    </row>
    <row r="436" spans="5:9" ht="12.75">
      <c r="E436" s="133"/>
      <c r="F436" s="133"/>
      <c r="G436" s="132"/>
      <c r="H436" s="131"/>
      <c r="I436" s="130"/>
    </row>
    <row r="437" spans="5:9" ht="12.75">
      <c r="E437" s="133"/>
      <c r="F437" s="133"/>
      <c r="G437" s="132"/>
      <c r="H437" s="131"/>
      <c r="I437" s="130"/>
    </row>
    <row r="438" spans="5:9" ht="12.75">
      <c r="E438" s="133"/>
      <c r="F438" s="133"/>
      <c r="G438" s="132"/>
      <c r="H438" s="131"/>
      <c r="I438" s="130"/>
    </row>
    <row r="439" spans="5:9" ht="12.75">
      <c r="E439" s="133"/>
      <c r="F439" s="133"/>
      <c r="G439" s="132"/>
      <c r="H439" s="131"/>
      <c r="I439" s="130"/>
    </row>
    <row r="440" spans="5:9" ht="12.75">
      <c r="E440" s="133"/>
      <c r="F440" s="133"/>
      <c r="G440" s="132"/>
      <c r="H440" s="131"/>
      <c r="I440" s="130"/>
    </row>
    <row r="441" spans="5:9" ht="12.75">
      <c r="E441" s="133"/>
      <c r="F441" s="133"/>
      <c r="G441" s="132"/>
      <c r="H441" s="131"/>
      <c r="I441" s="130"/>
    </row>
    <row r="442" spans="5:9" ht="12.75">
      <c r="E442" s="133"/>
      <c r="F442" s="133"/>
      <c r="G442" s="132"/>
      <c r="H442" s="131"/>
      <c r="I442" s="130"/>
    </row>
    <row r="443" spans="5:9" ht="12.75">
      <c r="E443" s="133"/>
      <c r="F443" s="133"/>
      <c r="G443" s="132"/>
      <c r="H443" s="131"/>
      <c r="I443" s="130"/>
    </row>
    <row r="444" spans="5:9" ht="12.75">
      <c r="E444" s="133"/>
      <c r="F444" s="133"/>
      <c r="G444" s="132"/>
      <c r="H444" s="131"/>
      <c r="I444" s="130"/>
    </row>
    <row r="445" spans="5:9" ht="12.75">
      <c r="E445" s="133"/>
      <c r="F445" s="133"/>
      <c r="G445" s="132"/>
      <c r="H445" s="131"/>
      <c r="I445" s="130"/>
    </row>
    <row r="446" spans="5:9" ht="12.75">
      <c r="E446" s="133"/>
      <c r="F446" s="133"/>
      <c r="G446" s="132"/>
      <c r="H446" s="131"/>
      <c r="I446" s="130"/>
    </row>
    <row r="447" spans="5:9" ht="12.75">
      <c r="E447" s="133"/>
      <c r="F447" s="133"/>
      <c r="G447" s="132"/>
      <c r="H447" s="131"/>
      <c r="I447" s="130"/>
    </row>
    <row r="448" spans="5:9" ht="12.75">
      <c r="E448" s="133"/>
      <c r="F448" s="133"/>
      <c r="G448" s="132"/>
      <c r="H448" s="131"/>
      <c r="I448" s="130"/>
    </row>
    <row r="449" spans="5:9" ht="12.75">
      <c r="E449" s="133"/>
      <c r="F449" s="133"/>
      <c r="G449" s="132"/>
      <c r="H449" s="131"/>
      <c r="I449" s="130"/>
    </row>
    <row r="450" spans="5:9" ht="12.75">
      <c r="E450" s="133"/>
      <c r="F450" s="133"/>
      <c r="G450" s="132"/>
      <c r="H450" s="131"/>
      <c r="I450" s="130"/>
    </row>
    <row r="451" spans="5:9" ht="12.75">
      <c r="E451" s="133"/>
      <c r="F451" s="133"/>
      <c r="G451" s="132"/>
      <c r="H451" s="131"/>
      <c r="I451" s="130"/>
    </row>
    <row r="452" spans="5:9" ht="12.75">
      <c r="E452" s="133"/>
      <c r="F452" s="133"/>
      <c r="G452" s="132"/>
      <c r="H452" s="131"/>
      <c r="I452" s="130"/>
    </row>
    <row r="453" spans="5:9" ht="12.75">
      <c r="E453" s="133"/>
      <c r="F453" s="133"/>
      <c r="G453" s="132"/>
      <c r="H453" s="131"/>
      <c r="I453" s="130"/>
    </row>
    <row r="454" spans="5:9" ht="12.75">
      <c r="E454" s="133"/>
      <c r="F454" s="133"/>
      <c r="G454" s="132"/>
      <c r="H454" s="131"/>
      <c r="I454" s="130"/>
    </row>
    <row r="455" spans="5:9" ht="12.75">
      <c r="E455" s="133"/>
      <c r="F455" s="133"/>
      <c r="G455" s="132"/>
      <c r="H455" s="131"/>
      <c r="I455" s="130"/>
    </row>
    <row r="456" spans="5:9" ht="12.75">
      <c r="E456" s="133"/>
      <c r="F456" s="133"/>
      <c r="G456" s="132"/>
      <c r="H456" s="131"/>
      <c r="I456" s="130"/>
    </row>
    <row r="457" spans="5:9" ht="12.75">
      <c r="E457" s="133"/>
      <c r="F457" s="133"/>
      <c r="G457" s="132"/>
      <c r="H457" s="131"/>
      <c r="I457" s="130"/>
    </row>
    <row r="458" spans="5:9" ht="12.75">
      <c r="E458" s="133"/>
      <c r="F458" s="133"/>
      <c r="G458" s="132"/>
      <c r="H458" s="131"/>
      <c r="I458" s="130"/>
    </row>
    <row r="459" spans="5:9" ht="12.75">
      <c r="E459" s="133"/>
      <c r="F459" s="133"/>
      <c r="G459" s="132"/>
      <c r="H459" s="131"/>
      <c r="I459" s="130"/>
    </row>
  </sheetData>
  <sheetProtection password="FA9C" sheet="1" scenarios="1" formatColumns="0" formatRows="0" autoFilter="0"/>
  <autoFilter ref="E11:H11"/>
  <mergeCells count="1">
    <mergeCell ref="E9:H9"/>
  </mergeCells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modGetGeoBase">
    <tabColor indexed="47"/>
  </sheetPr>
  <dimension ref="A1"/>
  <sheetViews>
    <sheetView showGridLines="0" zoomScale="90" zoomScaleNormal="90" workbookViewId="0"/>
  </sheetViews>
  <sheetFormatPr defaultRowHeight="11.25"/>
  <cols>
    <col min="1" max="16384" width="9.140625" style="16"/>
  </cols>
  <sheetData/>
  <sheetProtection formatColumns="0" formatRows="0"/>
  <phoneticPr fontId="3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modFUEL">
    <tabColor indexed="47"/>
  </sheetPr>
  <dimension ref="A1"/>
  <sheetViews>
    <sheetView workbookViewId="0"/>
  </sheetViews>
  <sheetFormatPr defaultRowHeight="11.25"/>
  <cols>
    <col min="1" max="16384" width="9.140625" style="16"/>
  </cols>
  <sheetData/>
  <sheetProtection formatColumns="0" formatRows="0"/>
  <phoneticPr fontId="8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modLOST_INCOME">
    <tabColor indexed="47"/>
  </sheetPr>
  <dimension ref="A1"/>
  <sheetViews>
    <sheetView workbookViewId="0"/>
  </sheetViews>
  <sheetFormatPr defaultRowHeight="11.25"/>
  <cols>
    <col min="1" max="16384" width="9.140625" style="16"/>
  </cols>
  <sheetData/>
  <sheetProtection formatColumns="0" formatRows="0"/>
  <phoneticPr fontId="34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PLAN_201X">
    <tabColor indexed="47"/>
  </sheetPr>
  <dimension ref="A1:J19"/>
  <sheetViews>
    <sheetView workbookViewId="0"/>
  </sheetViews>
  <sheetFormatPr defaultRowHeight="11.25"/>
  <cols>
    <col min="1" max="6" width="9.140625" style="16"/>
    <col min="7" max="10" width="18.5703125" style="16" bestFit="1" customWidth="1"/>
    <col min="11" max="16384" width="9.140625" style="16"/>
  </cols>
  <sheetData>
    <row r="1" spans="1:10">
      <c r="A1" s="16" t="s">
        <v>1529</v>
      </c>
      <c r="B1" s="16" t="s">
        <v>1636</v>
      </c>
      <c r="C1" s="16" t="s">
        <v>1637</v>
      </c>
      <c r="D1" s="16" t="s">
        <v>1638</v>
      </c>
      <c r="E1" s="16" t="s">
        <v>1639</v>
      </c>
      <c r="F1" s="16" t="s">
        <v>1641</v>
      </c>
      <c r="G1" s="16" t="s">
        <v>1333</v>
      </c>
      <c r="H1" s="16" t="s">
        <v>1490</v>
      </c>
      <c r="I1" s="16" t="s">
        <v>1489</v>
      </c>
      <c r="J1" s="16" t="s">
        <v>1488</v>
      </c>
    </row>
    <row r="2" spans="1:10">
      <c r="A2" s="16" t="s">
        <v>1588</v>
      </c>
      <c r="B2" s="16" t="s">
        <v>36</v>
      </c>
      <c r="C2" s="16">
        <v>4824.2700000000004</v>
      </c>
      <c r="D2" s="16">
        <v>1074543</v>
      </c>
      <c r="E2" s="16">
        <v>5183885.03</v>
      </c>
      <c r="F2" s="16" t="s">
        <v>637</v>
      </c>
    </row>
    <row r="3" spans="1:10">
      <c r="A3" s="16" t="s">
        <v>1588</v>
      </c>
      <c r="B3" s="16" t="s">
        <v>45</v>
      </c>
      <c r="C3" s="16">
        <v>4987.6099999999997</v>
      </c>
      <c r="D3" s="16">
        <v>10751.69</v>
      </c>
      <c r="E3" s="16">
        <v>53625.19</v>
      </c>
      <c r="F3" s="16" t="s">
        <v>637</v>
      </c>
    </row>
    <row r="4" spans="1:10">
      <c r="A4" s="16" t="s">
        <v>1588</v>
      </c>
      <c r="B4" s="16" t="s">
        <v>54</v>
      </c>
      <c r="C4" s="16">
        <v>0</v>
      </c>
      <c r="D4" s="16">
        <v>0</v>
      </c>
      <c r="E4" s="16">
        <v>0</v>
      </c>
      <c r="F4" s="16" t="s">
        <v>637</v>
      </c>
    </row>
    <row r="5" spans="1:10">
      <c r="A5" s="16" t="s">
        <v>1588</v>
      </c>
      <c r="B5" s="16" t="s">
        <v>61</v>
      </c>
      <c r="C5" s="16">
        <v>0</v>
      </c>
      <c r="D5" s="16">
        <v>0</v>
      </c>
      <c r="E5" s="16">
        <v>0</v>
      </c>
      <c r="F5" s="16" t="s">
        <v>637</v>
      </c>
    </row>
    <row r="6" spans="1:10">
      <c r="A6" s="16" t="s">
        <v>1588</v>
      </c>
      <c r="B6" s="16" t="s">
        <v>69</v>
      </c>
      <c r="C6" s="16">
        <v>0</v>
      </c>
      <c r="D6" s="16">
        <v>0</v>
      </c>
      <c r="E6" s="16">
        <v>0</v>
      </c>
      <c r="F6" s="16" t="s">
        <v>637</v>
      </c>
    </row>
    <row r="7" spans="1:10">
      <c r="A7" s="16" t="s">
        <v>1588</v>
      </c>
      <c r="B7" s="16" t="s">
        <v>76</v>
      </c>
      <c r="C7" s="16">
        <v>0</v>
      </c>
      <c r="D7" s="16">
        <v>0</v>
      </c>
      <c r="E7" s="16">
        <v>0</v>
      </c>
      <c r="F7" s="16" t="s">
        <v>637</v>
      </c>
    </row>
    <row r="8" spans="1:10">
      <c r="A8" s="16" t="s">
        <v>1588</v>
      </c>
      <c r="B8" s="16" t="s">
        <v>84</v>
      </c>
      <c r="C8" s="16">
        <v>8236.7900000000009</v>
      </c>
      <c r="D8" s="16">
        <v>3769.93</v>
      </c>
      <c r="E8" s="16">
        <v>31052.11</v>
      </c>
      <c r="F8" s="16" t="s">
        <v>637</v>
      </c>
    </row>
    <row r="9" spans="1:10">
      <c r="A9" s="16" t="s">
        <v>1588</v>
      </c>
      <c r="B9" s="16" t="s">
        <v>91</v>
      </c>
      <c r="C9" s="16">
        <v>0</v>
      </c>
      <c r="D9" s="16">
        <v>0</v>
      </c>
      <c r="E9" s="16">
        <v>0</v>
      </c>
      <c r="F9" s="16" t="s">
        <v>637</v>
      </c>
    </row>
    <row r="10" spans="1:10">
      <c r="A10" s="16" t="s">
        <v>1588</v>
      </c>
      <c r="B10" s="16" t="s">
        <v>1708</v>
      </c>
      <c r="C10" s="16">
        <v>0</v>
      </c>
      <c r="D10" s="16">
        <v>0</v>
      </c>
      <c r="E10" s="16">
        <v>0</v>
      </c>
      <c r="F10" s="16" t="s">
        <v>637</v>
      </c>
    </row>
    <row r="11" spans="1:10">
      <c r="A11" s="16" t="s">
        <v>1588</v>
      </c>
      <c r="B11" s="16" t="s">
        <v>1709</v>
      </c>
      <c r="C11" s="16">
        <v>0</v>
      </c>
      <c r="D11" s="16">
        <v>0</v>
      </c>
      <c r="E11" s="16">
        <v>0</v>
      </c>
      <c r="F11" s="16" t="s">
        <v>637</v>
      </c>
    </row>
    <row r="12" spans="1:10">
      <c r="A12" s="16" t="s">
        <v>1588</v>
      </c>
      <c r="B12" s="16" t="s">
        <v>1725</v>
      </c>
      <c r="C12" s="16">
        <v>0</v>
      </c>
      <c r="D12" s="16">
        <v>0</v>
      </c>
      <c r="E12" s="16">
        <v>0</v>
      </c>
      <c r="F12" s="16" t="s">
        <v>637</v>
      </c>
    </row>
    <row r="13" spans="1:10">
      <c r="A13" s="16" t="s">
        <v>1588</v>
      </c>
      <c r="B13" s="16" t="s">
        <v>1726</v>
      </c>
      <c r="C13" s="16">
        <v>0</v>
      </c>
      <c r="D13" s="16">
        <v>0</v>
      </c>
      <c r="E13" s="16">
        <v>0</v>
      </c>
      <c r="F13" s="16" t="s">
        <v>637</v>
      </c>
    </row>
    <row r="14" spans="1:10">
      <c r="A14" s="16" t="s">
        <v>1588</v>
      </c>
      <c r="B14" s="16" t="s">
        <v>1727</v>
      </c>
      <c r="C14" s="16">
        <v>0</v>
      </c>
      <c r="D14" s="16">
        <v>0</v>
      </c>
      <c r="E14" s="16">
        <v>0</v>
      </c>
      <c r="F14" s="16" t="s">
        <v>637</v>
      </c>
    </row>
    <row r="15" spans="1:10">
      <c r="A15" s="16" t="s">
        <v>1588</v>
      </c>
      <c r="B15" s="16" t="s">
        <v>1728</v>
      </c>
      <c r="C15" s="16">
        <v>0</v>
      </c>
      <c r="D15" s="16">
        <v>0</v>
      </c>
      <c r="E15" s="16">
        <v>0</v>
      </c>
      <c r="F15" s="16" t="s">
        <v>637</v>
      </c>
    </row>
    <row r="16" spans="1:10">
      <c r="A16" s="16" t="s">
        <v>1588</v>
      </c>
      <c r="B16" s="16" t="s">
        <v>1729</v>
      </c>
      <c r="C16" s="16">
        <v>0</v>
      </c>
      <c r="D16" s="16">
        <v>0</v>
      </c>
      <c r="E16" s="16">
        <v>0</v>
      </c>
      <c r="F16" s="16" t="s">
        <v>637</v>
      </c>
    </row>
    <row r="17" spans="1:10">
      <c r="A17" s="16" t="s">
        <v>1588</v>
      </c>
      <c r="B17" s="16" t="s">
        <v>125</v>
      </c>
      <c r="C17" s="16">
        <v>0</v>
      </c>
      <c r="D17" s="16">
        <v>0</v>
      </c>
      <c r="E17" s="16">
        <v>0</v>
      </c>
      <c r="F17" s="16" t="s">
        <v>637</v>
      </c>
    </row>
    <row r="18" spans="1:10">
      <c r="A18" s="16" t="s">
        <v>1588</v>
      </c>
      <c r="B18" s="16" t="s">
        <v>131</v>
      </c>
      <c r="C18" s="16">
        <v>0</v>
      </c>
      <c r="D18" s="16">
        <v>0</v>
      </c>
      <c r="E18" s="16">
        <v>0</v>
      </c>
      <c r="F18" s="16" t="s">
        <v>637</v>
      </c>
    </row>
    <row r="19" spans="1:10">
      <c r="A19" s="16" t="s">
        <v>1588</v>
      </c>
      <c r="B19" s="16" t="s">
        <v>135</v>
      </c>
      <c r="E19" s="16">
        <v>0</v>
      </c>
      <c r="F19" s="16" t="s">
        <v>637</v>
      </c>
      <c r="H19" s="16" t="s">
        <v>638</v>
      </c>
      <c r="J19" s="16" t="s">
        <v>639</v>
      </c>
    </row>
  </sheetData>
  <sheetProtection formatColumns="0" formatRows="0"/>
  <dataConsolidate leftLabels="1"/>
  <phoneticPr fontId="8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COMS_DATA_REGION">
    <tabColor indexed="47"/>
  </sheetPr>
  <dimension ref="A1:D8"/>
  <sheetViews>
    <sheetView workbookViewId="0"/>
  </sheetViews>
  <sheetFormatPr defaultRowHeight="11.25"/>
  <cols>
    <col min="1" max="1" width="40.7109375" style="16" customWidth="1"/>
    <col min="2" max="2" width="20.7109375" style="16" customWidth="1"/>
    <col min="3" max="3" width="5.7109375" style="16" customWidth="1"/>
    <col min="4" max="4" width="66.28515625" style="16" customWidth="1"/>
    <col min="5" max="16384" width="9.140625" style="16"/>
  </cols>
  <sheetData>
    <row r="1" spans="1:4">
      <c r="A1" s="16" t="s">
        <v>1529</v>
      </c>
      <c r="B1" s="16" t="s">
        <v>1881</v>
      </c>
      <c r="C1" s="16" t="s">
        <v>1882</v>
      </c>
      <c r="D1" s="16" t="s">
        <v>1880</v>
      </c>
    </row>
    <row r="2" spans="1:4">
      <c r="A2" s="16" t="s">
        <v>1588</v>
      </c>
      <c r="B2" s="16" t="s">
        <v>538</v>
      </c>
      <c r="C2" s="16" t="s">
        <v>36</v>
      </c>
      <c r="D2" s="16" t="s">
        <v>539</v>
      </c>
    </row>
    <row r="3" spans="1:4">
      <c r="A3" s="16" t="s">
        <v>1588</v>
      </c>
      <c r="B3" s="16" t="s">
        <v>540</v>
      </c>
      <c r="C3" s="16" t="s">
        <v>36</v>
      </c>
      <c r="D3" s="16" t="s">
        <v>541</v>
      </c>
    </row>
    <row r="4" spans="1:4">
      <c r="A4" s="16" t="s">
        <v>1588</v>
      </c>
      <c r="B4" s="16" t="s">
        <v>540</v>
      </c>
      <c r="C4" s="16" t="s">
        <v>45</v>
      </c>
      <c r="D4" s="16" t="s">
        <v>542</v>
      </c>
    </row>
    <row r="5" spans="1:4">
      <c r="A5" s="16" t="s">
        <v>1588</v>
      </c>
      <c r="B5" s="16" t="s">
        <v>543</v>
      </c>
      <c r="C5" s="16" t="s">
        <v>36</v>
      </c>
      <c r="D5" s="16" t="s">
        <v>544</v>
      </c>
    </row>
    <row r="6" spans="1:4">
      <c r="A6" s="16" t="s">
        <v>1588</v>
      </c>
      <c r="B6" s="16" t="s">
        <v>543</v>
      </c>
      <c r="C6" s="16" t="s">
        <v>45</v>
      </c>
      <c r="D6" s="16" t="s">
        <v>545</v>
      </c>
    </row>
    <row r="7" spans="1:4">
      <c r="A7" s="16" t="s">
        <v>1588</v>
      </c>
      <c r="B7" s="16" t="s">
        <v>546</v>
      </c>
      <c r="C7" s="16" t="s">
        <v>36</v>
      </c>
      <c r="D7" s="16" t="s">
        <v>547</v>
      </c>
    </row>
    <row r="8" spans="1:4">
      <c r="A8" s="16" t="s">
        <v>1588</v>
      </c>
      <c r="B8" s="16" t="s">
        <v>546</v>
      </c>
      <c r="C8" s="16" t="s">
        <v>45</v>
      </c>
      <c r="D8" s="16" t="s">
        <v>548</v>
      </c>
    </row>
  </sheetData>
  <sheetProtection formatColumns="0" formatRows="0"/>
  <dataConsolidate leftLabels="1"/>
  <phoneticPr fontId="0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PLAN1X_LIST_ORG_TOTAL">
    <tabColor indexed="47"/>
  </sheetPr>
  <dimension ref="A1:N70"/>
  <sheetViews>
    <sheetView workbookViewId="0"/>
  </sheetViews>
  <sheetFormatPr defaultRowHeight="11.25"/>
  <cols>
    <col min="1" max="16384" width="9.140625" style="16"/>
  </cols>
  <sheetData>
    <row r="1" spans="1:14">
      <c r="A1" s="16" t="s">
        <v>1647</v>
      </c>
      <c r="B1" s="16" t="s">
        <v>626</v>
      </c>
      <c r="C1" s="16" t="s">
        <v>627</v>
      </c>
      <c r="D1" s="16" t="s">
        <v>628</v>
      </c>
      <c r="E1" s="16" t="s">
        <v>1547</v>
      </c>
      <c r="F1" s="16" t="s">
        <v>1549</v>
      </c>
      <c r="G1" s="16" t="s">
        <v>1606</v>
      </c>
      <c r="H1" s="16" t="s">
        <v>629</v>
      </c>
      <c r="I1" s="16" t="s">
        <v>630</v>
      </c>
      <c r="J1" s="16" t="s">
        <v>631</v>
      </c>
      <c r="K1" s="16" t="s">
        <v>632</v>
      </c>
      <c r="L1" s="16" t="s">
        <v>633</v>
      </c>
      <c r="M1" s="16" t="s">
        <v>634</v>
      </c>
      <c r="N1" s="16" t="s">
        <v>635</v>
      </c>
    </row>
    <row r="2" spans="1:14">
      <c r="A2" s="16" t="s">
        <v>36</v>
      </c>
      <c r="B2" s="16" t="s">
        <v>549</v>
      </c>
      <c r="C2" s="16" t="s">
        <v>37</v>
      </c>
      <c r="D2" s="16" t="s">
        <v>37</v>
      </c>
      <c r="E2" s="16" t="s">
        <v>38</v>
      </c>
      <c r="F2" s="16" t="s">
        <v>39</v>
      </c>
      <c r="G2" s="16" t="s">
        <v>40</v>
      </c>
      <c r="H2" s="16" t="s">
        <v>41</v>
      </c>
      <c r="I2" s="16" t="s">
        <v>1759</v>
      </c>
      <c r="K2" s="16" t="s">
        <v>550</v>
      </c>
      <c r="L2" s="16" t="s">
        <v>43</v>
      </c>
      <c r="M2" s="16" t="s">
        <v>1539</v>
      </c>
    </row>
    <row r="3" spans="1:14">
      <c r="A3" s="16" t="s">
        <v>45</v>
      </c>
      <c r="B3" s="16" t="s">
        <v>551</v>
      </c>
      <c r="C3" s="16" t="s">
        <v>37</v>
      </c>
      <c r="D3" s="16" t="s">
        <v>37</v>
      </c>
      <c r="E3" s="16" t="s">
        <v>38</v>
      </c>
      <c r="F3" s="16" t="s">
        <v>232</v>
      </c>
      <c r="G3" s="16" t="s">
        <v>233</v>
      </c>
      <c r="H3" s="16" t="s">
        <v>234</v>
      </c>
      <c r="I3" s="16" t="s">
        <v>1758</v>
      </c>
      <c r="K3" s="16" t="s">
        <v>235</v>
      </c>
      <c r="L3" s="16" t="s">
        <v>43</v>
      </c>
      <c r="M3" s="16" t="s">
        <v>1540</v>
      </c>
    </row>
    <row r="4" spans="1:14">
      <c r="A4" s="16" t="s">
        <v>54</v>
      </c>
      <c r="B4" s="16" t="s">
        <v>552</v>
      </c>
      <c r="C4" s="16" t="s">
        <v>37</v>
      </c>
      <c r="D4" s="16" t="s">
        <v>37</v>
      </c>
      <c r="E4" s="16" t="s">
        <v>38</v>
      </c>
      <c r="F4" s="16" t="s">
        <v>342</v>
      </c>
      <c r="G4" s="16" t="s">
        <v>233</v>
      </c>
      <c r="H4" s="16" t="s">
        <v>343</v>
      </c>
      <c r="I4" s="16" t="s">
        <v>1758</v>
      </c>
      <c r="K4" s="16" t="s">
        <v>344</v>
      </c>
      <c r="L4" s="16" t="s">
        <v>43</v>
      </c>
      <c r="M4" s="16" t="s">
        <v>1540</v>
      </c>
    </row>
    <row r="5" spans="1:14">
      <c r="A5" s="16" t="s">
        <v>61</v>
      </c>
      <c r="B5" s="16" t="s">
        <v>553</v>
      </c>
      <c r="C5" s="16" t="s">
        <v>37</v>
      </c>
      <c r="D5" s="16" t="s">
        <v>37</v>
      </c>
      <c r="E5" s="16" t="s">
        <v>38</v>
      </c>
      <c r="F5" s="16" t="s">
        <v>346</v>
      </c>
      <c r="G5" s="16" t="s">
        <v>233</v>
      </c>
      <c r="H5" s="16" t="s">
        <v>347</v>
      </c>
      <c r="I5" s="16" t="s">
        <v>1758</v>
      </c>
      <c r="K5" s="16" t="s">
        <v>348</v>
      </c>
      <c r="L5" s="16" t="s">
        <v>43</v>
      </c>
      <c r="M5" s="16" t="s">
        <v>1540</v>
      </c>
    </row>
    <row r="6" spans="1:14">
      <c r="A6" s="16" t="s">
        <v>69</v>
      </c>
      <c r="B6" s="16" t="s">
        <v>554</v>
      </c>
      <c r="C6" s="16" t="s">
        <v>329</v>
      </c>
      <c r="D6" s="16" t="s">
        <v>330</v>
      </c>
      <c r="E6" s="16" t="s">
        <v>331</v>
      </c>
      <c r="F6" s="16" t="s">
        <v>332</v>
      </c>
      <c r="G6" s="16" t="s">
        <v>333</v>
      </c>
      <c r="H6" s="16" t="s">
        <v>334</v>
      </c>
      <c r="I6" s="16" t="s">
        <v>1758</v>
      </c>
      <c r="J6" s="16" t="s">
        <v>335</v>
      </c>
      <c r="K6" s="16" t="s">
        <v>336</v>
      </c>
      <c r="L6" s="16" t="s">
        <v>43</v>
      </c>
      <c r="M6" s="16" t="s">
        <v>1539</v>
      </c>
    </row>
    <row r="7" spans="1:14">
      <c r="A7" s="16" t="s">
        <v>76</v>
      </c>
      <c r="B7" s="16" t="s">
        <v>555</v>
      </c>
      <c r="C7" s="16" t="s">
        <v>177</v>
      </c>
      <c r="D7" s="16" t="s">
        <v>177</v>
      </c>
      <c r="E7" s="16" t="s">
        <v>178</v>
      </c>
      <c r="F7" s="16" t="s">
        <v>179</v>
      </c>
      <c r="G7" s="16" t="s">
        <v>180</v>
      </c>
      <c r="H7" s="16" t="s">
        <v>181</v>
      </c>
      <c r="I7" s="16" t="s">
        <v>1758</v>
      </c>
      <c r="K7" s="16" t="s">
        <v>182</v>
      </c>
      <c r="L7" s="16" t="s">
        <v>43</v>
      </c>
      <c r="M7" s="16" t="s">
        <v>1540</v>
      </c>
    </row>
    <row r="8" spans="1:14">
      <c r="A8" s="16" t="s">
        <v>84</v>
      </c>
      <c r="B8" s="16" t="s">
        <v>556</v>
      </c>
      <c r="C8" s="16" t="s">
        <v>119</v>
      </c>
      <c r="D8" s="16" t="s">
        <v>119</v>
      </c>
      <c r="E8" s="16" t="s">
        <v>120</v>
      </c>
      <c r="F8" s="16" t="s">
        <v>121</v>
      </c>
      <c r="G8" s="16" t="s">
        <v>122</v>
      </c>
      <c r="H8" s="16" t="s">
        <v>123</v>
      </c>
      <c r="I8" s="16" t="s">
        <v>1758</v>
      </c>
      <c r="K8" s="16" t="s">
        <v>124</v>
      </c>
      <c r="L8" s="16" t="s">
        <v>43</v>
      </c>
      <c r="M8" s="16" t="s">
        <v>1540</v>
      </c>
    </row>
    <row r="9" spans="1:14">
      <c r="A9" s="16" t="s">
        <v>91</v>
      </c>
      <c r="B9" s="16" t="s">
        <v>557</v>
      </c>
      <c r="C9" s="16" t="s">
        <v>558</v>
      </c>
      <c r="D9" s="16" t="s">
        <v>383</v>
      </c>
      <c r="E9" s="16" t="s">
        <v>559</v>
      </c>
      <c r="F9" s="16" t="s">
        <v>103</v>
      </c>
      <c r="G9" s="16" t="s">
        <v>104</v>
      </c>
      <c r="H9" s="16" t="s">
        <v>105</v>
      </c>
      <c r="I9" s="16" t="s">
        <v>1759</v>
      </c>
      <c r="K9" s="16" t="s">
        <v>560</v>
      </c>
      <c r="L9" s="16" t="s">
        <v>43</v>
      </c>
      <c r="M9" s="16" t="s">
        <v>1539</v>
      </c>
    </row>
    <row r="10" spans="1:14">
      <c r="A10" s="16" t="s">
        <v>1708</v>
      </c>
      <c r="B10" s="16" t="s">
        <v>561</v>
      </c>
      <c r="C10" s="16" t="s">
        <v>55</v>
      </c>
      <c r="D10" s="16" t="s">
        <v>403</v>
      </c>
      <c r="E10" s="16" t="s">
        <v>404</v>
      </c>
      <c r="F10" s="16" t="s">
        <v>103</v>
      </c>
      <c r="G10" s="16" t="s">
        <v>104</v>
      </c>
      <c r="H10" s="16" t="s">
        <v>105</v>
      </c>
      <c r="I10" s="16" t="s">
        <v>1759</v>
      </c>
      <c r="K10" s="16" t="s">
        <v>562</v>
      </c>
      <c r="L10" s="16" t="s">
        <v>43</v>
      </c>
      <c r="M10" s="16" t="s">
        <v>1539</v>
      </c>
    </row>
    <row r="11" spans="1:14">
      <c r="A11" s="16" t="s">
        <v>1709</v>
      </c>
      <c r="B11" s="16" t="s">
        <v>563</v>
      </c>
      <c r="C11" s="16" t="s">
        <v>111</v>
      </c>
      <c r="D11" s="16" t="s">
        <v>111</v>
      </c>
      <c r="E11" s="16" t="s">
        <v>112</v>
      </c>
      <c r="F11" s="16" t="s">
        <v>419</v>
      </c>
      <c r="G11" s="16" t="s">
        <v>58</v>
      </c>
      <c r="H11" s="16" t="s">
        <v>420</v>
      </c>
      <c r="I11" s="16" t="s">
        <v>1758</v>
      </c>
      <c r="K11" s="16" t="s">
        <v>421</v>
      </c>
      <c r="L11" s="16" t="s">
        <v>43</v>
      </c>
      <c r="M11" s="16" t="s">
        <v>1539</v>
      </c>
    </row>
    <row r="12" spans="1:14">
      <c r="A12" s="16" t="s">
        <v>1725</v>
      </c>
      <c r="B12" s="16" t="s">
        <v>564</v>
      </c>
      <c r="C12" s="16" t="s">
        <v>111</v>
      </c>
      <c r="D12" s="16" t="s">
        <v>111</v>
      </c>
      <c r="E12" s="16" t="s">
        <v>112</v>
      </c>
      <c r="F12" s="16" t="s">
        <v>113</v>
      </c>
      <c r="G12" s="16" t="s">
        <v>58</v>
      </c>
      <c r="H12" s="16" t="s">
        <v>114</v>
      </c>
      <c r="I12" s="16" t="s">
        <v>1758</v>
      </c>
      <c r="K12" s="16" t="s">
        <v>115</v>
      </c>
      <c r="L12" s="16" t="s">
        <v>43</v>
      </c>
      <c r="M12" s="16" t="s">
        <v>1539</v>
      </c>
    </row>
    <row r="13" spans="1:14">
      <c r="A13" s="16" t="s">
        <v>1726</v>
      </c>
      <c r="B13" s="16" t="s">
        <v>565</v>
      </c>
      <c r="C13" s="16" t="s">
        <v>111</v>
      </c>
      <c r="D13" s="16" t="s">
        <v>111</v>
      </c>
      <c r="E13" s="16" t="s">
        <v>112</v>
      </c>
      <c r="F13" s="16" t="s">
        <v>57</v>
      </c>
      <c r="G13" s="16" t="s">
        <v>58</v>
      </c>
      <c r="H13" s="16" t="s">
        <v>59</v>
      </c>
      <c r="I13" s="16" t="s">
        <v>1760</v>
      </c>
      <c r="K13" s="16" t="s">
        <v>566</v>
      </c>
      <c r="L13" s="16" t="s">
        <v>43</v>
      </c>
      <c r="M13" s="16" t="s">
        <v>1540</v>
      </c>
    </row>
    <row r="14" spans="1:14">
      <c r="A14" s="16" t="s">
        <v>1727</v>
      </c>
      <c r="B14" s="16" t="s">
        <v>567</v>
      </c>
      <c r="C14" s="16" t="s">
        <v>197</v>
      </c>
      <c r="D14" s="16" t="s">
        <v>197</v>
      </c>
      <c r="E14" s="16" t="s">
        <v>198</v>
      </c>
      <c r="F14" s="16" t="s">
        <v>199</v>
      </c>
      <c r="G14" s="16" t="s">
        <v>200</v>
      </c>
      <c r="H14" s="16" t="s">
        <v>201</v>
      </c>
      <c r="I14" s="16" t="s">
        <v>1758</v>
      </c>
      <c r="J14" s="16" t="s">
        <v>202</v>
      </c>
      <c r="K14" s="16" t="s">
        <v>203</v>
      </c>
      <c r="L14" s="16" t="s">
        <v>204</v>
      </c>
      <c r="M14" s="16" t="s">
        <v>1539</v>
      </c>
      <c r="N14" s="16" t="s">
        <v>1738</v>
      </c>
    </row>
    <row r="15" spans="1:14">
      <c r="A15" s="16" t="s">
        <v>1728</v>
      </c>
      <c r="B15" s="16" t="s">
        <v>568</v>
      </c>
      <c r="C15" s="16" t="s">
        <v>197</v>
      </c>
      <c r="D15" s="16" t="s">
        <v>197</v>
      </c>
      <c r="E15" s="16" t="s">
        <v>198</v>
      </c>
      <c r="F15" s="16" t="s">
        <v>252</v>
      </c>
      <c r="G15" s="16" t="s">
        <v>253</v>
      </c>
      <c r="H15" s="16" t="s">
        <v>254</v>
      </c>
      <c r="I15" s="16" t="s">
        <v>1758</v>
      </c>
      <c r="K15" s="16" t="s">
        <v>255</v>
      </c>
      <c r="L15" s="16" t="s">
        <v>110</v>
      </c>
      <c r="M15" s="16" t="s">
        <v>1540</v>
      </c>
    </row>
    <row r="16" spans="1:14">
      <c r="A16" s="16" t="s">
        <v>1729</v>
      </c>
      <c r="B16" s="16" t="s">
        <v>569</v>
      </c>
      <c r="C16" s="16" t="s">
        <v>136</v>
      </c>
      <c r="D16" s="16" t="s">
        <v>136</v>
      </c>
      <c r="E16" s="16" t="s">
        <v>137</v>
      </c>
      <c r="F16" s="16" t="s">
        <v>206</v>
      </c>
      <c r="G16" s="16" t="s">
        <v>139</v>
      </c>
      <c r="H16" s="16" t="s">
        <v>207</v>
      </c>
      <c r="I16" s="16" t="s">
        <v>1758</v>
      </c>
      <c r="K16" s="16" t="s">
        <v>208</v>
      </c>
      <c r="L16" s="16" t="s">
        <v>110</v>
      </c>
      <c r="M16" s="16" t="s">
        <v>1539</v>
      </c>
    </row>
    <row r="17" spans="1:14">
      <c r="A17" s="16" t="s">
        <v>125</v>
      </c>
      <c r="B17" s="16" t="s">
        <v>570</v>
      </c>
      <c r="C17" s="16" t="s">
        <v>136</v>
      </c>
      <c r="D17" s="16" t="s">
        <v>136</v>
      </c>
      <c r="E17" s="16" t="s">
        <v>137</v>
      </c>
      <c r="F17" s="16" t="s">
        <v>429</v>
      </c>
      <c r="G17" s="16" t="s">
        <v>139</v>
      </c>
      <c r="H17" s="16" t="s">
        <v>430</v>
      </c>
      <c r="I17" s="16" t="s">
        <v>1758</v>
      </c>
      <c r="K17" s="16" t="s">
        <v>431</v>
      </c>
      <c r="L17" s="16" t="s">
        <v>43</v>
      </c>
      <c r="M17" s="16" t="s">
        <v>1539</v>
      </c>
    </row>
    <row r="18" spans="1:14">
      <c r="A18" s="16" t="s">
        <v>131</v>
      </c>
      <c r="B18" s="16" t="s">
        <v>571</v>
      </c>
      <c r="C18" s="16" t="s">
        <v>136</v>
      </c>
      <c r="D18" s="16" t="s">
        <v>136</v>
      </c>
      <c r="E18" s="16" t="s">
        <v>137</v>
      </c>
      <c r="F18" s="16" t="s">
        <v>138</v>
      </c>
      <c r="G18" s="16" t="s">
        <v>139</v>
      </c>
      <c r="H18" s="16" t="s">
        <v>140</v>
      </c>
      <c r="I18" s="16" t="s">
        <v>1758</v>
      </c>
      <c r="K18" s="16" t="s">
        <v>141</v>
      </c>
      <c r="L18" s="16" t="s">
        <v>43</v>
      </c>
      <c r="M18" s="16" t="s">
        <v>1540</v>
      </c>
    </row>
    <row r="19" spans="1:14">
      <c r="A19" s="16" t="s">
        <v>135</v>
      </c>
      <c r="B19" s="16" t="s">
        <v>572</v>
      </c>
      <c r="C19" s="16" t="s">
        <v>136</v>
      </c>
      <c r="D19" s="16" t="s">
        <v>136</v>
      </c>
      <c r="E19" s="16" t="s">
        <v>137</v>
      </c>
      <c r="F19" s="16" t="s">
        <v>279</v>
      </c>
      <c r="G19" s="16" t="s">
        <v>280</v>
      </c>
      <c r="H19" s="16" t="s">
        <v>281</v>
      </c>
      <c r="I19" s="16" t="s">
        <v>1758</v>
      </c>
      <c r="K19" s="16" t="s">
        <v>282</v>
      </c>
      <c r="L19" s="16" t="s">
        <v>110</v>
      </c>
      <c r="M19" s="16" t="s">
        <v>1539</v>
      </c>
    </row>
    <row r="20" spans="1:14">
      <c r="A20" s="16" t="s">
        <v>142</v>
      </c>
      <c r="B20" s="16" t="s">
        <v>573</v>
      </c>
      <c r="C20" s="16" t="s">
        <v>136</v>
      </c>
      <c r="D20" s="16" t="s">
        <v>136</v>
      </c>
      <c r="E20" s="16" t="s">
        <v>137</v>
      </c>
      <c r="F20" s="16" t="s">
        <v>289</v>
      </c>
      <c r="G20" s="16" t="s">
        <v>290</v>
      </c>
      <c r="H20" s="16" t="s">
        <v>291</v>
      </c>
      <c r="I20" s="16" t="s">
        <v>1758</v>
      </c>
      <c r="J20" s="16" t="s">
        <v>292</v>
      </c>
      <c r="K20" s="16" t="s">
        <v>293</v>
      </c>
      <c r="L20" s="16" t="s">
        <v>204</v>
      </c>
      <c r="M20" s="16" t="s">
        <v>1539</v>
      </c>
      <c r="N20" s="16" t="s">
        <v>1739</v>
      </c>
    </row>
    <row r="21" spans="1:14">
      <c r="A21" s="16" t="s">
        <v>574</v>
      </c>
      <c r="B21" s="16" t="s">
        <v>575</v>
      </c>
      <c r="C21" s="16" t="s">
        <v>70</v>
      </c>
      <c r="D21" s="16" t="s">
        <v>70</v>
      </c>
      <c r="E21" s="16" t="s">
        <v>71</v>
      </c>
      <c r="F21" s="16" t="s">
        <v>72</v>
      </c>
      <c r="G21" s="16" t="s">
        <v>73</v>
      </c>
      <c r="H21" s="16" t="s">
        <v>74</v>
      </c>
      <c r="I21" s="16" t="s">
        <v>1758</v>
      </c>
      <c r="K21" s="16" t="s">
        <v>75</v>
      </c>
      <c r="L21" s="16" t="s">
        <v>43</v>
      </c>
      <c r="M21" s="16" t="s">
        <v>1539</v>
      </c>
    </row>
    <row r="22" spans="1:14">
      <c r="A22" s="16" t="s">
        <v>145</v>
      </c>
      <c r="B22" s="16" t="s">
        <v>576</v>
      </c>
      <c r="C22" s="16" t="s">
        <v>70</v>
      </c>
      <c r="D22" s="16" t="s">
        <v>70</v>
      </c>
      <c r="E22" s="16" t="s">
        <v>71</v>
      </c>
      <c r="F22" s="16" t="s">
        <v>39</v>
      </c>
      <c r="G22" s="16" t="s">
        <v>40</v>
      </c>
      <c r="H22" s="16" t="s">
        <v>41</v>
      </c>
      <c r="I22" s="16" t="s">
        <v>1759</v>
      </c>
      <c r="K22" s="16" t="s">
        <v>156</v>
      </c>
      <c r="L22" s="16" t="s">
        <v>43</v>
      </c>
      <c r="M22" s="16" t="s">
        <v>1539</v>
      </c>
    </row>
    <row r="23" spans="1:14">
      <c r="A23" s="16" t="s">
        <v>149</v>
      </c>
      <c r="B23" s="16" t="s">
        <v>577</v>
      </c>
      <c r="C23" s="16" t="s">
        <v>70</v>
      </c>
      <c r="D23" s="16" t="s">
        <v>70</v>
      </c>
      <c r="E23" s="16" t="s">
        <v>71</v>
      </c>
      <c r="F23" s="16" t="s">
        <v>39</v>
      </c>
      <c r="G23" s="16" t="s">
        <v>40</v>
      </c>
      <c r="H23" s="16" t="s">
        <v>41</v>
      </c>
      <c r="I23" s="16" t="s">
        <v>1760</v>
      </c>
      <c r="K23" s="16" t="s">
        <v>154</v>
      </c>
      <c r="L23" s="16" t="s">
        <v>43</v>
      </c>
      <c r="M23" s="16" t="s">
        <v>1539</v>
      </c>
    </row>
    <row r="24" spans="1:14">
      <c r="A24" s="16" t="s">
        <v>153</v>
      </c>
      <c r="B24" s="16" t="s">
        <v>578</v>
      </c>
      <c r="C24" s="16" t="s">
        <v>70</v>
      </c>
      <c r="D24" s="16" t="s">
        <v>70</v>
      </c>
      <c r="E24" s="16" t="s">
        <v>71</v>
      </c>
      <c r="F24" s="16" t="s">
        <v>146</v>
      </c>
      <c r="G24" s="16" t="s">
        <v>40</v>
      </c>
      <c r="H24" s="16" t="s">
        <v>147</v>
      </c>
      <c r="I24" s="16" t="s">
        <v>1758</v>
      </c>
      <c r="K24" s="16" t="s">
        <v>134</v>
      </c>
      <c r="L24" s="16" t="s">
        <v>43</v>
      </c>
      <c r="M24" s="16" t="s">
        <v>1540</v>
      </c>
    </row>
    <row r="25" spans="1:14">
      <c r="A25" s="16" t="s">
        <v>155</v>
      </c>
      <c r="B25" s="16" t="s">
        <v>579</v>
      </c>
      <c r="C25" s="16" t="s">
        <v>70</v>
      </c>
      <c r="D25" s="16" t="s">
        <v>70</v>
      </c>
      <c r="E25" s="16" t="s">
        <v>71</v>
      </c>
      <c r="F25" s="16" t="s">
        <v>103</v>
      </c>
      <c r="G25" s="16" t="s">
        <v>104</v>
      </c>
      <c r="H25" s="16" t="s">
        <v>105</v>
      </c>
      <c r="I25" s="16" t="s">
        <v>1760</v>
      </c>
      <c r="K25" s="16" t="s">
        <v>106</v>
      </c>
      <c r="L25" s="16" t="s">
        <v>43</v>
      </c>
      <c r="M25" s="16" t="s">
        <v>1539</v>
      </c>
    </row>
    <row r="26" spans="1:14">
      <c r="A26" s="16" t="s">
        <v>157</v>
      </c>
      <c r="B26" s="16" t="s">
        <v>580</v>
      </c>
      <c r="C26" s="16" t="s">
        <v>70</v>
      </c>
      <c r="D26" s="16" t="s">
        <v>70</v>
      </c>
      <c r="E26" s="16" t="s">
        <v>71</v>
      </c>
      <c r="F26" s="16" t="s">
        <v>103</v>
      </c>
      <c r="G26" s="16" t="s">
        <v>104</v>
      </c>
      <c r="H26" s="16" t="s">
        <v>105</v>
      </c>
      <c r="I26" s="16" t="s">
        <v>1759</v>
      </c>
      <c r="K26" s="16" t="s">
        <v>107</v>
      </c>
      <c r="L26" s="16" t="s">
        <v>43</v>
      </c>
      <c r="M26" s="16" t="s">
        <v>1539</v>
      </c>
    </row>
    <row r="27" spans="1:14">
      <c r="A27" s="16" t="s">
        <v>162</v>
      </c>
      <c r="B27" s="16" t="s">
        <v>581</v>
      </c>
      <c r="C27" s="16" t="s">
        <v>70</v>
      </c>
      <c r="D27" s="16" t="s">
        <v>70</v>
      </c>
      <c r="E27" s="16" t="s">
        <v>71</v>
      </c>
      <c r="F27" s="16" t="s">
        <v>132</v>
      </c>
      <c r="G27" s="16" t="s">
        <v>40</v>
      </c>
      <c r="H27" s="16" t="s">
        <v>133</v>
      </c>
      <c r="I27" s="16" t="s">
        <v>1758</v>
      </c>
      <c r="K27" s="16" t="s">
        <v>134</v>
      </c>
      <c r="L27" s="16" t="s">
        <v>43</v>
      </c>
      <c r="M27" s="16" t="s">
        <v>1539</v>
      </c>
    </row>
    <row r="28" spans="1:14">
      <c r="A28" s="16" t="s">
        <v>169</v>
      </c>
      <c r="B28" s="16" t="s">
        <v>582</v>
      </c>
      <c r="C28" s="16" t="s">
        <v>70</v>
      </c>
      <c r="D28" s="16" t="s">
        <v>70</v>
      </c>
      <c r="E28" s="16" t="s">
        <v>71</v>
      </c>
      <c r="F28" s="16" t="s">
        <v>338</v>
      </c>
      <c r="G28" s="16" t="s">
        <v>73</v>
      </c>
      <c r="H28" s="16" t="s">
        <v>339</v>
      </c>
      <c r="I28" s="16" t="s">
        <v>1758</v>
      </c>
      <c r="K28" s="16" t="s">
        <v>340</v>
      </c>
      <c r="L28" s="16" t="s">
        <v>43</v>
      </c>
      <c r="M28" s="16" t="s">
        <v>1539</v>
      </c>
    </row>
    <row r="29" spans="1:14">
      <c r="A29" s="16" t="s">
        <v>176</v>
      </c>
      <c r="B29" s="16" t="s">
        <v>583</v>
      </c>
      <c r="C29" s="16" t="s">
        <v>70</v>
      </c>
      <c r="D29" s="16" t="s">
        <v>70</v>
      </c>
      <c r="E29" s="16" t="s">
        <v>71</v>
      </c>
      <c r="F29" s="16" t="s">
        <v>284</v>
      </c>
      <c r="G29" s="16" t="s">
        <v>40</v>
      </c>
      <c r="H29" s="16" t="s">
        <v>285</v>
      </c>
      <c r="I29" s="16" t="s">
        <v>1758</v>
      </c>
      <c r="K29" s="16" t="s">
        <v>286</v>
      </c>
      <c r="L29" s="16" t="s">
        <v>43</v>
      </c>
      <c r="M29" s="16" t="s">
        <v>1539</v>
      </c>
    </row>
    <row r="30" spans="1:14">
      <c r="A30" s="16" t="s">
        <v>183</v>
      </c>
      <c r="B30" s="16" t="s">
        <v>584</v>
      </c>
      <c r="C30" s="16" t="s">
        <v>70</v>
      </c>
      <c r="D30" s="16" t="s">
        <v>70</v>
      </c>
      <c r="E30" s="16" t="s">
        <v>71</v>
      </c>
      <c r="F30" s="16" t="s">
        <v>117</v>
      </c>
      <c r="G30" s="16" t="s">
        <v>98</v>
      </c>
      <c r="H30" s="16" t="s">
        <v>118</v>
      </c>
      <c r="I30" s="16" t="s">
        <v>1758</v>
      </c>
      <c r="K30" s="16" t="s">
        <v>75</v>
      </c>
      <c r="L30" s="16" t="s">
        <v>110</v>
      </c>
      <c r="M30" s="16" t="s">
        <v>1539</v>
      </c>
    </row>
    <row r="31" spans="1:14">
      <c r="A31" s="16" t="s">
        <v>191</v>
      </c>
      <c r="B31" s="16" t="s">
        <v>585</v>
      </c>
      <c r="C31" s="16" t="s">
        <v>70</v>
      </c>
      <c r="D31" s="16" t="s">
        <v>70</v>
      </c>
      <c r="E31" s="16" t="s">
        <v>71</v>
      </c>
      <c r="F31" s="16" t="s">
        <v>356</v>
      </c>
      <c r="G31" s="16" t="s">
        <v>357</v>
      </c>
      <c r="H31" s="16" t="s">
        <v>358</v>
      </c>
      <c r="I31" s="16" t="s">
        <v>1759</v>
      </c>
      <c r="J31" s="16" t="s">
        <v>359</v>
      </c>
      <c r="K31" s="16" t="s">
        <v>360</v>
      </c>
      <c r="L31" s="16" t="s">
        <v>43</v>
      </c>
      <c r="M31" s="16" t="s">
        <v>1539</v>
      </c>
    </row>
    <row r="32" spans="1:14">
      <c r="A32" s="16" t="s">
        <v>196</v>
      </c>
      <c r="B32" s="16" t="s">
        <v>586</v>
      </c>
      <c r="C32" s="16" t="s">
        <v>70</v>
      </c>
      <c r="D32" s="16" t="s">
        <v>70</v>
      </c>
      <c r="E32" s="16" t="s">
        <v>71</v>
      </c>
      <c r="F32" s="16" t="s">
        <v>363</v>
      </c>
      <c r="G32" s="16" t="s">
        <v>98</v>
      </c>
      <c r="H32" s="16" t="s">
        <v>364</v>
      </c>
      <c r="I32" s="16" t="s">
        <v>1758</v>
      </c>
      <c r="K32" s="16" t="s">
        <v>134</v>
      </c>
      <c r="L32" s="16" t="s">
        <v>43</v>
      </c>
      <c r="M32" s="16" t="s">
        <v>1539</v>
      </c>
    </row>
    <row r="33" spans="1:14">
      <c r="A33" s="16" t="s">
        <v>205</v>
      </c>
      <c r="B33" s="16" t="s">
        <v>587</v>
      </c>
      <c r="C33" s="16" t="s">
        <v>70</v>
      </c>
      <c r="D33" s="16" t="s">
        <v>70</v>
      </c>
      <c r="E33" s="16" t="s">
        <v>71</v>
      </c>
      <c r="F33" s="16" t="s">
        <v>434</v>
      </c>
      <c r="G33" s="16" t="s">
        <v>435</v>
      </c>
      <c r="H33" s="16" t="s">
        <v>436</v>
      </c>
      <c r="I33" s="16" t="s">
        <v>1758</v>
      </c>
      <c r="J33" s="16" t="s">
        <v>437</v>
      </c>
      <c r="K33" s="16" t="s">
        <v>134</v>
      </c>
      <c r="L33" s="16" t="s">
        <v>43</v>
      </c>
      <c r="M33" s="16" t="s">
        <v>1539</v>
      </c>
    </row>
    <row r="34" spans="1:14">
      <c r="A34" s="16" t="s">
        <v>209</v>
      </c>
      <c r="B34" s="16" t="s">
        <v>451</v>
      </c>
      <c r="C34" s="16" t="s">
        <v>70</v>
      </c>
      <c r="D34" s="16" t="s">
        <v>70</v>
      </c>
      <c r="E34" s="16" t="s">
        <v>71</v>
      </c>
      <c r="F34" s="16" t="s">
        <v>108</v>
      </c>
      <c r="G34" s="16" t="s">
        <v>73</v>
      </c>
      <c r="H34" s="16" t="s">
        <v>109</v>
      </c>
      <c r="I34" s="16" t="s">
        <v>1758</v>
      </c>
      <c r="K34" s="16" t="s">
        <v>75</v>
      </c>
      <c r="L34" s="16" t="s">
        <v>110</v>
      </c>
      <c r="M34" s="16" t="s">
        <v>1540</v>
      </c>
    </row>
    <row r="35" spans="1:14">
      <c r="A35" s="16" t="s">
        <v>217</v>
      </c>
      <c r="B35" s="16" t="s">
        <v>588</v>
      </c>
      <c r="C35" s="16" t="s">
        <v>271</v>
      </c>
      <c r="D35" s="16" t="s">
        <v>271</v>
      </c>
      <c r="E35" s="16" t="s">
        <v>272</v>
      </c>
      <c r="F35" s="16" t="s">
        <v>307</v>
      </c>
      <c r="G35" s="16" t="s">
        <v>274</v>
      </c>
      <c r="H35" s="16" t="s">
        <v>308</v>
      </c>
      <c r="I35" s="16" t="s">
        <v>1758</v>
      </c>
      <c r="K35" s="16" t="s">
        <v>309</v>
      </c>
      <c r="L35" s="16" t="s">
        <v>43</v>
      </c>
      <c r="M35" s="16" t="s">
        <v>1539</v>
      </c>
    </row>
    <row r="36" spans="1:14">
      <c r="A36" s="16" t="s">
        <v>221</v>
      </c>
      <c r="B36" s="16" t="s">
        <v>589</v>
      </c>
      <c r="C36" s="16" t="s">
        <v>271</v>
      </c>
      <c r="D36" s="16" t="s">
        <v>271</v>
      </c>
      <c r="E36" s="16" t="s">
        <v>272</v>
      </c>
      <c r="F36" s="16" t="s">
        <v>273</v>
      </c>
      <c r="G36" s="16" t="s">
        <v>274</v>
      </c>
      <c r="H36" s="16" t="s">
        <v>275</v>
      </c>
      <c r="I36" s="16" t="s">
        <v>1758</v>
      </c>
      <c r="K36" s="16" t="s">
        <v>590</v>
      </c>
      <c r="L36" s="16" t="s">
        <v>43</v>
      </c>
      <c r="M36" s="16" t="s">
        <v>1539</v>
      </c>
    </row>
    <row r="37" spans="1:14">
      <c r="A37" s="16" t="s">
        <v>228</v>
      </c>
      <c r="B37" s="16" t="s">
        <v>591</v>
      </c>
      <c r="C37" s="16" t="s">
        <v>163</v>
      </c>
      <c r="D37" s="16" t="s">
        <v>163</v>
      </c>
      <c r="E37" s="16" t="s">
        <v>164</v>
      </c>
      <c r="F37" s="16" t="s">
        <v>165</v>
      </c>
      <c r="G37" s="16" t="s">
        <v>166</v>
      </c>
      <c r="H37" s="16" t="s">
        <v>167</v>
      </c>
      <c r="I37" s="16" t="s">
        <v>1758</v>
      </c>
      <c r="K37" s="16" t="s">
        <v>168</v>
      </c>
      <c r="L37" s="16" t="s">
        <v>43</v>
      </c>
      <c r="M37" s="16" t="s">
        <v>1539</v>
      </c>
    </row>
    <row r="38" spans="1:14">
      <c r="A38" s="16" t="s">
        <v>231</v>
      </c>
      <c r="B38" s="16" t="s">
        <v>592</v>
      </c>
      <c r="C38" s="16" t="s">
        <v>163</v>
      </c>
      <c r="D38" s="16" t="s">
        <v>163</v>
      </c>
      <c r="E38" s="16" t="s">
        <v>164</v>
      </c>
      <c r="F38" s="16" t="s">
        <v>257</v>
      </c>
      <c r="G38" s="16" t="s">
        <v>166</v>
      </c>
      <c r="H38" s="16" t="s">
        <v>258</v>
      </c>
      <c r="I38" s="16" t="s">
        <v>1758</v>
      </c>
      <c r="K38" s="16" t="s">
        <v>259</v>
      </c>
      <c r="L38" s="16" t="s">
        <v>43</v>
      </c>
      <c r="M38" s="16" t="s">
        <v>1539</v>
      </c>
    </row>
    <row r="39" spans="1:14">
      <c r="A39" s="16" t="s">
        <v>236</v>
      </c>
      <c r="B39" s="16" t="s">
        <v>593</v>
      </c>
      <c r="C39" s="16" t="s">
        <v>163</v>
      </c>
      <c r="D39" s="16" t="s">
        <v>163</v>
      </c>
      <c r="E39" s="16" t="s">
        <v>164</v>
      </c>
      <c r="F39" s="16" t="s">
        <v>303</v>
      </c>
      <c r="G39" s="16" t="s">
        <v>166</v>
      </c>
      <c r="H39" s="16" t="s">
        <v>304</v>
      </c>
      <c r="I39" s="16" t="s">
        <v>1758</v>
      </c>
      <c r="K39" s="16" t="s">
        <v>305</v>
      </c>
      <c r="L39" s="16" t="s">
        <v>43</v>
      </c>
      <c r="M39" s="16" t="s">
        <v>1539</v>
      </c>
    </row>
    <row r="40" spans="1:14">
      <c r="A40" s="16" t="s">
        <v>244</v>
      </c>
      <c r="B40" s="16" t="s">
        <v>594</v>
      </c>
      <c r="C40" s="16" t="s">
        <v>95</v>
      </c>
      <c r="D40" s="16" t="s">
        <v>95</v>
      </c>
      <c r="E40" s="16" t="s">
        <v>96</v>
      </c>
      <c r="F40" s="16" t="s">
        <v>103</v>
      </c>
      <c r="G40" s="16" t="s">
        <v>104</v>
      </c>
      <c r="H40" s="16" t="s">
        <v>105</v>
      </c>
      <c r="I40" s="16" t="s">
        <v>1759</v>
      </c>
      <c r="K40" s="16" t="s">
        <v>595</v>
      </c>
      <c r="L40" s="16" t="s">
        <v>43</v>
      </c>
      <c r="M40" s="16" t="s">
        <v>1539</v>
      </c>
    </row>
    <row r="41" spans="1:14">
      <c r="A41" s="16" t="s">
        <v>251</v>
      </c>
      <c r="B41" s="16" t="s">
        <v>596</v>
      </c>
      <c r="C41" s="16" t="s">
        <v>95</v>
      </c>
      <c r="D41" s="16" t="s">
        <v>95</v>
      </c>
      <c r="E41" s="16" t="s">
        <v>96</v>
      </c>
      <c r="F41" s="16" t="s">
        <v>424</v>
      </c>
      <c r="G41" s="16" t="s">
        <v>425</v>
      </c>
      <c r="H41" s="16" t="s">
        <v>426</v>
      </c>
      <c r="I41" s="16" t="s">
        <v>1758</v>
      </c>
      <c r="K41" s="16" t="s">
        <v>427</v>
      </c>
      <c r="L41" s="16" t="s">
        <v>43</v>
      </c>
      <c r="M41" s="16" t="s">
        <v>1539</v>
      </c>
    </row>
    <row r="42" spans="1:14">
      <c r="A42" s="16" t="s">
        <v>256</v>
      </c>
      <c r="B42" s="16" t="s">
        <v>597</v>
      </c>
      <c r="C42" s="16" t="s">
        <v>95</v>
      </c>
      <c r="D42" s="16" t="s">
        <v>95</v>
      </c>
      <c r="E42" s="16" t="s">
        <v>96</v>
      </c>
      <c r="F42" s="16" t="s">
        <v>222</v>
      </c>
      <c r="G42" s="16" t="s">
        <v>223</v>
      </c>
      <c r="H42" s="16" t="s">
        <v>224</v>
      </c>
      <c r="I42" s="16" t="s">
        <v>1758</v>
      </c>
      <c r="J42" s="16" t="s">
        <v>225</v>
      </c>
      <c r="K42" s="16" t="s">
        <v>226</v>
      </c>
      <c r="L42" s="16" t="s">
        <v>204</v>
      </c>
      <c r="M42" s="16" t="s">
        <v>1539</v>
      </c>
      <c r="N42" s="16" t="s">
        <v>1738</v>
      </c>
    </row>
    <row r="43" spans="1:14">
      <c r="A43" s="16" t="s">
        <v>261</v>
      </c>
      <c r="B43" s="16" t="s">
        <v>598</v>
      </c>
      <c r="C43" s="16" t="s">
        <v>95</v>
      </c>
      <c r="D43" s="16" t="s">
        <v>95</v>
      </c>
      <c r="E43" s="16" t="s">
        <v>96</v>
      </c>
      <c r="F43" s="16" t="s">
        <v>222</v>
      </c>
      <c r="G43" s="16" t="s">
        <v>223</v>
      </c>
      <c r="H43" s="16" t="s">
        <v>224</v>
      </c>
      <c r="I43" s="16" t="s">
        <v>1758</v>
      </c>
      <c r="J43" s="16" t="s">
        <v>229</v>
      </c>
      <c r="K43" s="16" t="s">
        <v>230</v>
      </c>
      <c r="L43" s="16" t="s">
        <v>43</v>
      </c>
      <c r="M43" s="16" t="s">
        <v>1539</v>
      </c>
    </row>
    <row r="44" spans="1:14">
      <c r="A44" s="16" t="s">
        <v>270</v>
      </c>
      <c r="B44" s="16" t="s">
        <v>599</v>
      </c>
      <c r="C44" s="16" t="s">
        <v>95</v>
      </c>
      <c r="D44" s="16" t="s">
        <v>95</v>
      </c>
      <c r="E44" s="16" t="s">
        <v>96</v>
      </c>
      <c r="F44" s="16" t="s">
        <v>97</v>
      </c>
      <c r="G44" s="16" t="s">
        <v>98</v>
      </c>
      <c r="H44" s="16" t="s">
        <v>99</v>
      </c>
      <c r="I44" s="16" t="s">
        <v>1758</v>
      </c>
      <c r="K44" s="16" t="s">
        <v>100</v>
      </c>
      <c r="L44" s="16" t="s">
        <v>43</v>
      </c>
      <c r="M44" s="16" t="s">
        <v>1539</v>
      </c>
    </row>
    <row r="45" spans="1:14">
      <c r="A45" s="16" t="s">
        <v>278</v>
      </c>
      <c r="B45" s="16" t="s">
        <v>600</v>
      </c>
      <c r="C45" s="16" t="s">
        <v>85</v>
      </c>
      <c r="D45" s="16" t="s">
        <v>85</v>
      </c>
      <c r="E45" s="16" t="s">
        <v>86</v>
      </c>
      <c r="F45" s="16" t="s">
        <v>150</v>
      </c>
      <c r="G45" s="16" t="s">
        <v>88</v>
      </c>
      <c r="H45" s="16" t="s">
        <v>151</v>
      </c>
      <c r="I45" s="16" t="s">
        <v>1758</v>
      </c>
      <c r="K45" s="16" t="s">
        <v>152</v>
      </c>
      <c r="L45" s="16" t="s">
        <v>43</v>
      </c>
      <c r="M45" s="16" t="s">
        <v>1539</v>
      </c>
    </row>
    <row r="46" spans="1:14">
      <c r="A46" s="16" t="s">
        <v>283</v>
      </c>
      <c r="B46" s="16" t="s">
        <v>601</v>
      </c>
      <c r="C46" s="16" t="s">
        <v>85</v>
      </c>
      <c r="D46" s="16" t="s">
        <v>85</v>
      </c>
      <c r="E46" s="16" t="s">
        <v>86</v>
      </c>
      <c r="F46" s="16" t="s">
        <v>92</v>
      </c>
      <c r="G46" s="16" t="s">
        <v>88</v>
      </c>
      <c r="H46" s="16" t="s">
        <v>93</v>
      </c>
      <c r="I46" s="16" t="s">
        <v>1758</v>
      </c>
      <c r="K46" s="16" t="s">
        <v>94</v>
      </c>
      <c r="L46" s="16" t="s">
        <v>43</v>
      </c>
      <c r="M46" s="16" t="s">
        <v>1539</v>
      </c>
    </row>
    <row r="47" spans="1:14">
      <c r="A47" s="16" t="s">
        <v>288</v>
      </c>
      <c r="B47" s="16" t="s">
        <v>602</v>
      </c>
      <c r="C47" s="16" t="s">
        <v>85</v>
      </c>
      <c r="D47" s="16" t="s">
        <v>85</v>
      </c>
      <c r="E47" s="16" t="s">
        <v>86</v>
      </c>
      <c r="F47" s="16" t="s">
        <v>218</v>
      </c>
      <c r="G47" s="16" t="s">
        <v>88</v>
      </c>
      <c r="H47" s="16" t="s">
        <v>219</v>
      </c>
      <c r="I47" s="16" t="s">
        <v>1758</v>
      </c>
      <c r="K47" s="16" t="s">
        <v>220</v>
      </c>
      <c r="L47" s="16" t="s">
        <v>43</v>
      </c>
      <c r="M47" s="16" t="s">
        <v>1539</v>
      </c>
    </row>
    <row r="48" spans="1:14">
      <c r="A48" s="16" t="s">
        <v>295</v>
      </c>
      <c r="B48" s="16" t="s">
        <v>603</v>
      </c>
      <c r="C48" s="16" t="s">
        <v>85</v>
      </c>
      <c r="D48" s="16" t="s">
        <v>85</v>
      </c>
      <c r="E48" s="16" t="s">
        <v>86</v>
      </c>
      <c r="F48" s="16" t="s">
        <v>87</v>
      </c>
      <c r="G48" s="16" t="s">
        <v>88</v>
      </c>
      <c r="H48" s="16" t="s">
        <v>89</v>
      </c>
      <c r="I48" s="16" t="s">
        <v>1758</v>
      </c>
      <c r="K48" s="16" t="s">
        <v>90</v>
      </c>
      <c r="L48" s="16" t="s">
        <v>43</v>
      </c>
      <c r="M48" s="16" t="s">
        <v>1539</v>
      </c>
    </row>
    <row r="49" spans="1:14">
      <c r="A49" s="16" t="s">
        <v>302</v>
      </c>
      <c r="B49" s="16" t="s">
        <v>604</v>
      </c>
      <c r="C49" s="16" t="s">
        <v>85</v>
      </c>
      <c r="D49" s="16" t="s">
        <v>85</v>
      </c>
      <c r="E49" s="16" t="s">
        <v>86</v>
      </c>
      <c r="F49" s="16" t="s">
        <v>143</v>
      </c>
      <c r="G49" s="16" t="s">
        <v>88</v>
      </c>
      <c r="H49" s="16" t="s">
        <v>144</v>
      </c>
      <c r="I49" s="16" t="s">
        <v>1758</v>
      </c>
      <c r="K49" s="16" t="s">
        <v>90</v>
      </c>
      <c r="L49" s="16" t="s">
        <v>43</v>
      </c>
      <c r="M49" s="16" t="s">
        <v>1540</v>
      </c>
    </row>
    <row r="50" spans="1:14">
      <c r="A50" s="16" t="s">
        <v>306</v>
      </c>
      <c r="B50" s="16" t="s">
        <v>605</v>
      </c>
      <c r="C50" s="16" t="s">
        <v>85</v>
      </c>
      <c r="D50" s="16" t="s">
        <v>85</v>
      </c>
      <c r="E50" s="16" t="s">
        <v>86</v>
      </c>
      <c r="F50" s="16" t="s">
        <v>350</v>
      </c>
      <c r="G50" s="16" t="s">
        <v>351</v>
      </c>
      <c r="H50" s="16" t="s">
        <v>352</v>
      </c>
      <c r="I50" s="16" t="s">
        <v>1758</v>
      </c>
      <c r="K50" s="16" t="s">
        <v>353</v>
      </c>
      <c r="L50" s="16" t="s">
        <v>43</v>
      </c>
      <c r="M50" s="16" t="s">
        <v>1539</v>
      </c>
    </row>
    <row r="51" spans="1:14">
      <c r="A51" s="16" t="s">
        <v>311</v>
      </c>
      <c r="B51" s="16" t="s">
        <v>606</v>
      </c>
      <c r="C51" s="16" t="s">
        <v>85</v>
      </c>
      <c r="D51" s="16" t="s">
        <v>85</v>
      </c>
      <c r="E51" s="16" t="s">
        <v>86</v>
      </c>
      <c r="F51" s="16" t="s">
        <v>407</v>
      </c>
      <c r="G51" s="16" t="s">
        <v>88</v>
      </c>
      <c r="H51" s="16" t="s">
        <v>408</v>
      </c>
      <c r="I51" s="16" t="s">
        <v>1758</v>
      </c>
      <c r="K51" s="16" t="s">
        <v>409</v>
      </c>
      <c r="L51" s="16" t="s">
        <v>43</v>
      </c>
      <c r="M51" s="16" t="s">
        <v>1539</v>
      </c>
    </row>
    <row r="52" spans="1:14">
      <c r="A52" s="16" t="s">
        <v>316</v>
      </c>
      <c r="B52" s="16" t="s">
        <v>607</v>
      </c>
      <c r="C52" s="16" t="s">
        <v>210</v>
      </c>
      <c r="D52" s="16" t="s">
        <v>210</v>
      </c>
      <c r="E52" s="16" t="s">
        <v>211</v>
      </c>
      <c r="F52" s="16" t="s">
        <v>212</v>
      </c>
      <c r="G52" s="16" t="s">
        <v>213</v>
      </c>
      <c r="H52" s="16" t="s">
        <v>214</v>
      </c>
      <c r="I52" s="16" t="s">
        <v>1758</v>
      </c>
      <c r="K52" s="16" t="s">
        <v>215</v>
      </c>
      <c r="L52" s="16" t="s">
        <v>43</v>
      </c>
      <c r="M52" s="16" t="s">
        <v>1540</v>
      </c>
    </row>
    <row r="53" spans="1:14">
      <c r="A53" s="16" t="s">
        <v>319</v>
      </c>
      <c r="B53" s="16" t="s">
        <v>608</v>
      </c>
      <c r="C53" s="16" t="s">
        <v>46</v>
      </c>
      <c r="D53" s="16" t="s">
        <v>126</v>
      </c>
      <c r="E53" s="16" t="s">
        <v>127</v>
      </c>
      <c r="F53" s="16" t="s">
        <v>192</v>
      </c>
      <c r="G53" s="16" t="s">
        <v>193</v>
      </c>
      <c r="H53" s="16" t="s">
        <v>194</v>
      </c>
      <c r="I53" s="16" t="s">
        <v>1758</v>
      </c>
      <c r="K53" s="16" t="s">
        <v>195</v>
      </c>
      <c r="L53" s="16" t="s">
        <v>43</v>
      </c>
      <c r="M53" s="16" t="s">
        <v>1539</v>
      </c>
    </row>
    <row r="54" spans="1:14">
      <c r="A54" s="16" t="s">
        <v>324</v>
      </c>
      <c r="B54" s="16" t="s">
        <v>609</v>
      </c>
      <c r="C54" s="16" t="s">
        <v>46</v>
      </c>
      <c r="D54" s="16" t="s">
        <v>126</v>
      </c>
      <c r="E54" s="16" t="s">
        <v>127</v>
      </c>
      <c r="F54" s="16" t="s">
        <v>415</v>
      </c>
      <c r="G54" s="16" t="s">
        <v>193</v>
      </c>
      <c r="H54" s="16" t="s">
        <v>416</v>
      </c>
      <c r="I54" s="16" t="s">
        <v>1758</v>
      </c>
      <c r="K54" s="16" t="s">
        <v>417</v>
      </c>
      <c r="L54" s="16" t="s">
        <v>204</v>
      </c>
      <c r="M54" s="16" t="s">
        <v>1539</v>
      </c>
      <c r="N54" s="16" t="s">
        <v>1738</v>
      </c>
    </row>
    <row r="55" spans="1:14">
      <c r="A55" s="16" t="s">
        <v>328</v>
      </c>
      <c r="B55" s="16" t="s">
        <v>610</v>
      </c>
      <c r="C55" s="16" t="s">
        <v>46</v>
      </c>
      <c r="D55" s="16" t="s">
        <v>126</v>
      </c>
      <c r="E55" s="16" t="s">
        <v>127</v>
      </c>
      <c r="F55" s="16" t="s">
        <v>128</v>
      </c>
      <c r="G55" s="16" t="s">
        <v>73</v>
      </c>
      <c r="H55" s="16" t="s">
        <v>129</v>
      </c>
      <c r="I55" s="16" t="s">
        <v>1758</v>
      </c>
      <c r="K55" s="16" t="s">
        <v>130</v>
      </c>
      <c r="L55" s="16" t="s">
        <v>43</v>
      </c>
      <c r="M55" s="16" t="s">
        <v>1539</v>
      </c>
    </row>
    <row r="56" spans="1:14">
      <c r="A56" s="16" t="s">
        <v>337</v>
      </c>
      <c r="B56" s="16" t="s">
        <v>611</v>
      </c>
      <c r="C56" s="16" t="s">
        <v>46</v>
      </c>
      <c r="D56" s="16" t="s">
        <v>47</v>
      </c>
      <c r="E56" s="16" t="s">
        <v>48</v>
      </c>
      <c r="F56" s="16" t="s">
        <v>312</v>
      </c>
      <c r="G56" s="16" t="s">
        <v>313</v>
      </c>
      <c r="H56" s="16" t="s">
        <v>314</v>
      </c>
      <c r="I56" s="16" t="s">
        <v>1759</v>
      </c>
      <c r="K56" s="16" t="s">
        <v>315</v>
      </c>
      <c r="L56" s="16" t="s">
        <v>43</v>
      </c>
      <c r="M56" s="16" t="s">
        <v>1539</v>
      </c>
    </row>
    <row r="57" spans="1:14">
      <c r="A57" s="16" t="s">
        <v>341</v>
      </c>
      <c r="B57" s="16" t="s">
        <v>612</v>
      </c>
      <c r="C57" s="16" t="s">
        <v>46</v>
      </c>
      <c r="D57" s="16" t="s">
        <v>47</v>
      </c>
      <c r="E57" s="16" t="s">
        <v>48</v>
      </c>
      <c r="F57" s="16" t="s">
        <v>312</v>
      </c>
      <c r="G57" s="16" t="s">
        <v>313</v>
      </c>
      <c r="H57" s="16" t="s">
        <v>314</v>
      </c>
      <c r="I57" s="16" t="s">
        <v>1759</v>
      </c>
      <c r="J57" s="16" t="s">
        <v>317</v>
      </c>
      <c r="K57" s="16" t="s">
        <v>318</v>
      </c>
      <c r="L57" s="16" t="s">
        <v>43</v>
      </c>
      <c r="M57" s="16" t="s">
        <v>1539</v>
      </c>
    </row>
    <row r="58" spans="1:14">
      <c r="A58" s="16" t="s">
        <v>345</v>
      </c>
      <c r="B58" s="16" t="s">
        <v>613</v>
      </c>
      <c r="C58" s="16" t="s">
        <v>46</v>
      </c>
      <c r="D58" s="16" t="s">
        <v>47</v>
      </c>
      <c r="E58" s="16" t="s">
        <v>48</v>
      </c>
      <c r="F58" s="16" t="s">
        <v>49</v>
      </c>
      <c r="G58" s="16" t="s">
        <v>50</v>
      </c>
      <c r="H58" s="16" t="s">
        <v>51</v>
      </c>
      <c r="I58" s="16" t="s">
        <v>1758</v>
      </c>
      <c r="J58" s="16" t="s">
        <v>52</v>
      </c>
      <c r="K58" s="16" t="s">
        <v>53</v>
      </c>
      <c r="L58" s="16" t="s">
        <v>43</v>
      </c>
      <c r="M58" s="16" t="s">
        <v>1539</v>
      </c>
    </row>
    <row r="59" spans="1:14">
      <c r="A59" s="16" t="s">
        <v>349</v>
      </c>
      <c r="B59" s="16" t="s">
        <v>614</v>
      </c>
      <c r="C59" s="16" t="s">
        <v>46</v>
      </c>
      <c r="D59" s="16" t="s">
        <v>296</v>
      </c>
      <c r="E59" s="16" t="s">
        <v>297</v>
      </c>
      <c r="F59" s="16" t="s">
        <v>298</v>
      </c>
      <c r="G59" s="16" t="s">
        <v>50</v>
      </c>
      <c r="H59" s="16" t="s">
        <v>299</v>
      </c>
      <c r="I59" s="16" t="s">
        <v>1758</v>
      </c>
      <c r="J59" s="16" t="s">
        <v>300</v>
      </c>
      <c r="K59" s="16" t="s">
        <v>301</v>
      </c>
      <c r="L59" s="16" t="s">
        <v>204</v>
      </c>
      <c r="M59" s="16" t="s">
        <v>1539</v>
      </c>
      <c r="N59" s="16" t="s">
        <v>1739</v>
      </c>
    </row>
    <row r="60" spans="1:14">
      <c r="A60" s="16" t="s">
        <v>355</v>
      </c>
      <c r="B60" s="16" t="s">
        <v>615</v>
      </c>
      <c r="C60" s="16" t="s">
        <v>184</v>
      </c>
      <c r="D60" s="16" t="s">
        <v>184</v>
      </c>
      <c r="E60" s="16" t="s">
        <v>185</v>
      </c>
      <c r="F60" s="16" t="s">
        <v>186</v>
      </c>
      <c r="G60" s="16" t="s">
        <v>187</v>
      </c>
      <c r="H60" s="16" t="s">
        <v>188</v>
      </c>
      <c r="I60" s="16" t="s">
        <v>1758</v>
      </c>
      <c r="K60" s="16" t="s">
        <v>189</v>
      </c>
      <c r="L60" s="16" t="s">
        <v>43</v>
      </c>
      <c r="M60" s="16" t="s">
        <v>1539</v>
      </c>
    </row>
    <row r="61" spans="1:14">
      <c r="A61" s="16" t="s">
        <v>362</v>
      </c>
      <c r="B61" s="16" t="s">
        <v>616</v>
      </c>
      <c r="C61" s="16" t="s">
        <v>237</v>
      </c>
      <c r="D61" s="16" t="s">
        <v>237</v>
      </c>
      <c r="E61" s="16" t="s">
        <v>238</v>
      </c>
      <c r="F61" s="16" t="s">
        <v>239</v>
      </c>
      <c r="G61" s="16" t="s">
        <v>240</v>
      </c>
      <c r="H61" s="16" t="s">
        <v>241</v>
      </c>
      <c r="I61" s="16" t="s">
        <v>1758</v>
      </c>
      <c r="K61" s="16" t="s">
        <v>242</v>
      </c>
      <c r="L61" s="16" t="s">
        <v>43</v>
      </c>
      <c r="M61" s="16" t="s">
        <v>1539</v>
      </c>
    </row>
    <row r="62" spans="1:14">
      <c r="A62" s="16" t="s">
        <v>365</v>
      </c>
      <c r="B62" s="16" t="s">
        <v>617</v>
      </c>
      <c r="C62" s="16" t="s">
        <v>320</v>
      </c>
      <c r="D62" s="16" t="s">
        <v>321</v>
      </c>
      <c r="E62" s="16" t="s">
        <v>322</v>
      </c>
      <c r="F62" s="16" t="s">
        <v>312</v>
      </c>
      <c r="G62" s="16" t="s">
        <v>313</v>
      </c>
      <c r="H62" s="16" t="s">
        <v>314</v>
      </c>
      <c r="I62" s="16" t="s">
        <v>1759</v>
      </c>
      <c r="J62" s="16" t="s">
        <v>317</v>
      </c>
      <c r="K62" s="16" t="s">
        <v>323</v>
      </c>
      <c r="L62" s="16" t="s">
        <v>43</v>
      </c>
      <c r="M62" s="16" t="s">
        <v>1539</v>
      </c>
    </row>
    <row r="63" spans="1:14">
      <c r="A63" s="16" t="s">
        <v>368</v>
      </c>
      <c r="B63" s="16" t="s">
        <v>618</v>
      </c>
      <c r="C63" s="16" t="s">
        <v>170</v>
      </c>
      <c r="D63" s="16" t="s">
        <v>170</v>
      </c>
      <c r="E63" s="16" t="s">
        <v>171</v>
      </c>
      <c r="F63" s="16" t="s">
        <v>172</v>
      </c>
      <c r="G63" s="16" t="s">
        <v>173</v>
      </c>
      <c r="H63" s="16" t="s">
        <v>174</v>
      </c>
      <c r="I63" s="16" t="s">
        <v>1758</v>
      </c>
      <c r="K63" s="16" t="s">
        <v>175</v>
      </c>
      <c r="L63" s="16" t="s">
        <v>43</v>
      </c>
      <c r="M63" s="16" t="s">
        <v>1540</v>
      </c>
    </row>
    <row r="64" spans="1:14">
      <c r="A64" s="16" t="s">
        <v>369</v>
      </c>
      <c r="B64" s="16" t="s">
        <v>619</v>
      </c>
      <c r="C64" s="16" t="s">
        <v>62</v>
      </c>
      <c r="D64" s="16" t="s">
        <v>376</v>
      </c>
      <c r="E64" s="16" t="s">
        <v>377</v>
      </c>
      <c r="F64" s="16" t="s">
        <v>411</v>
      </c>
      <c r="G64" s="16" t="s">
        <v>66</v>
      </c>
      <c r="H64" s="16" t="s">
        <v>412</v>
      </c>
      <c r="I64" s="16" t="s">
        <v>1758</v>
      </c>
      <c r="K64" s="16" t="s">
        <v>413</v>
      </c>
      <c r="L64" s="16" t="s">
        <v>110</v>
      </c>
      <c r="M64" s="16" t="s">
        <v>1539</v>
      </c>
    </row>
    <row r="65" spans="1:13">
      <c r="A65" s="16" t="s">
        <v>372</v>
      </c>
      <c r="B65" s="16" t="s">
        <v>620</v>
      </c>
      <c r="C65" s="16" t="s">
        <v>62</v>
      </c>
      <c r="D65" s="16" t="s">
        <v>63</v>
      </c>
      <c r="E65" s="16" t="s">
        <v>64</v>
      </c>
      <c r="F65" s="16" t="s">
        <v>65</v>
      </c>
      <c r="G65" s="16" t="s">
        <v>66</v>
      </c>
      <c r="H65" s="16" t="s">
        <v>67</v>
      </c>
      <c r="I65" s="16" t="s">
        <v>1758</v>
      </c>
      <c r="K65" s="16" t="s">
        <v>68</v>
      </c>
      <c r="L65" s="16" t="s">
        <v>43</v>
      </c>
      <c r="M65" s="16" t="s">
        <v>1539</v>
      </c>
    </row>
    <row r="66" spans="1:13">
      <c r="A66" s="16" t="s">
        <v>375</v>
      </c>
      <c r="B66" s="16" t="s">
        <v>621</v>
      </c>
      <c r="C66" s="16" t="s">
        <v>158</v>
      </c>
      <c r="D66" s="16" t="s">
        <v>159</v>
      </c>
      <c r="E66" s="16" t="s">
        <v>160</v>
      </c>
      <c r="F66" s="16" t="s">
        <v>39</v>
      </c>
      <c r="G66" s="16" t="s">
        <v>40</v>
      </c>
      <c r="H66" s="16" t="s">
        <v>41</v>
      </c>
      <c r="I66" s="16" t="s">
        <v>1759</v>
      </c>
      <c r="K66" s="16" t="s">
        <v>161</v>
      </c>
      <c r="L66" s="16" t="s">
        <v>110</v>
      </c>
      <c r="M66" s="16" t="s">
        <v>1539</v>
      </c>
    </row>
    <row r="67" spans="1:13">
      <c r="A67" s="16" t="s">
        <v>378</v>
      </c>
      <c r="B67" s="16" t="s">
        <v>622</v>
      </c>
      <c r="C67" s="16" t="s">
        <v>262</v>
      </c>
      <c r="D67" s="16" t="s">
        <v>325</v>
      </c>
      <c r="E67" s="16" t="s">
        <v>326</v>
      </c>
      <c r="F67" s="16" t="s">
        <v>312</v>
      </c>
      <c r="G67" s="16" t="s">
        <v>313</v>
      </c>
      <c r="H67" s="16" t="s">
        <v>314</v>
      </c>
      <c r="I67" s="16" t="s">
        <v>1759</v>
      </c>
      <c r="J67" s="16" t="s">
        <v>317</v>
      </c>
      <c r="K67" s="16" t="s">
        <v>327</v>
      </c>
      <c r="L67" s="16" t="s">
        <v>110</v>
      </c>
      <c r="M67" s="16" t="s">
        <v>1539</v>
      </c>
    </row>
    <row r="68" spans="1:13">
      <c r="A68" s="16" t="s">
        <v>382</v>
      </c>
      <c r="B68" s="16" t="s">
        <v>623</v>
      </c>
      <c r="C68" s="16" t="s">
        <v>262</v>
      </c>
      <c r="D68" s="16" t="s">
        <v>263</v>
      </c>
      <c r="E68" s="16" t="s">
        <v>264</v>
      </c>
      <c r="F68" s="16" t="s">
        <v>265</v>
      </c>
      <c r="G68" s="16" t="s">
        <v>266</v>
      </c>
      <c r="H68" s="16" t="s">
        <v>267</v>
      </c>
      <c r="I68" s="16" t="s">
        <v>1758</v>
      </c>
      <c r="K68" s="16" t="s">
        <v>268</v>
      </c>
      <c r="L68" s="16" t="s">
        <v>110</v>
      </c>
      <c r="M68" s="16" t="s">
        <v>1540</v>
      </c>
    </row>
    <row r="69" spans="1:13">
      <c r="A69" s="16" t="s">
        <v>385</v>
      </c>
      <c r="B69" s="16" t="s">
        <v>624</v>
      </c>
      <c r="C69" s="16" t="s">
        <v>245</v>
      </c>
      <c r="D69" s="16" t="s">
        <v>245</v>
      </c>
      <c r="E69" s="16" t="s">
        <v>246</v>
      </c>
      <c r="F69" s="16" t="s">
        <v>247</v>
      </c>
      <c r="G69" s="16" t="s">
        <v>248</v>
      </c>
      <c r="H69" s="16" t="s">
        <v>249</v>
      </c>
      <c r="I69" s="16" t="s">
        <v>1758</v>
      </c>
      <c r="K69" s="16" t="s">
        <v>250</v>
      </c>
      <c r="L69" s="16" t="s">
        <v>43</v>
      </c>
      <c r="M69" s="16" t="s">
        <v>1540</v>
      </c>
    </row>
    <row r="70" spans="1:13">
      <c r="A70" s="16" t="s">
        <v>388</v>
      </c>
      <c r="B70" s="16" t="s">
        <v>625</v>
      </c>
      <c r="C70" s="16" t="s">
        <v>77</v>
      </c>
      <c r="D70" s="16" t="s">
        <v>77</v>
      </c>
      <c r="E70" s="16" t="s">
        <v>78</v>
      </c>
      <c r="F70" s="16" t="s">
        <v>79</v>
      </c>
      <c r="G70" s="16" t="s">
        <v>80</v>
      </c>
      <c r="H70" s="16" t="s">
        <v>81</v>
      </c>
      <c r="I70" s="16" t="s">
        <v>1758</v>
      </c>
      <c r="K70" s="16" t="s">
        <v>82</v>
      </c>
      <c r="L70" s="16" t="s">
        <v>43</v>
      </c>
      <c r="M70" s="16" t="s">
        <v>1540</v>
      </c>
    </row>
  </sheetData>
  <sheetProtection formatColumns="0" formatRows="0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modInstruction">
    <tabColor indexed="47"/>
  </sheetPr>
  <dimension ref="A2"/>
  <sheetViews>
    <sheetView zoomScale="85" zoomScaleNormal="85" workbookViewId="0"/>
  </sheetViews>
  <sheetFormatPr defaultRowHeight="11.25"/>
  <cols>
    <col min="1" max="16384" width="9.140625" style="259"/>
  </cols>
  <sheetData>
    <row r="2" spans="1:1">
      <c r="A2" s="295"/>
    </row>
  </sheetData>
  <sheetProtection formatColumns="0" formatRows="0"/>
  <phoneticPr fontId="34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  <oleObjects>
    <oleObject progId="Word.Document.8" shapeId="160781" r:id="rId3"/>
    <oleObject progId="Word.Document.8" shapeId="160819" r:id="rId4"/>
    <oleObject progId="Word.Document.8" shapeId="160820" r:id="rId5"/>
    <oleObject progId="Word.Document.8" shapeId="160821" r:id="rId6"/>
    <oleObject progId="Word.Document.8" shapeId="160823" r:id="rId7"/>
  </oleObjects>
</worksheet>
</file>

<file path=xl/worksheets/sheet20.xml><?xml version="1.0" encoding="utf-8"?>
<worksheet xmlns="http://schemas.openxmlformats.org/spreadsheetml/2006/main" xmlns:r="http://schemas.openxmlformats.org/officeDocument/2006/relationships">
  <sheetPr codeName="PLAN1X_LIST_ORG_COSTS">
    <tabColor indexed="47"/>
  </sheetPr>
  <dimension ref="A1"/>
  <sheetViews>
    <sheetView workbookViewId="0"/>
  </sheetViews>
  <sheetFormatPr defaultRowHeight="11.25"/>
  <cols>
    <col min="1" max="16384" width="9.140625" style="16"/>
  </cols>
  <sheetData/>
  <sheetProtection formatColumns="0" formatRows="0"/>
  <phoneticPr fontId="3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ORG_DATA_REGION">
    <tabColor indexed="47"/>
  </sheetPr>
  <dimension ref="A1:P82"/>
  <sheetViews>
    <sheetView workbookViewId="0"/>
  </sheetViews>
  <sheetFormatPr defaultRowHeight="11.25"/>
  <cols>
    <col min="1" max="16384" width="9.140625" style="16"/>
  </cols>
  <sheetData>
    <row r="1" spans="1:16">
      <c r="A1" s="16" t="s">
        <v>1633</v>
      </c>
      <c r="B1" s="16" t="s">
        <v>1719</v>
      </c>
      <c r="C1" s="16" t="s">
        <v>1623</v>
      </c>
      <c r="D1" s="16" t="s">
        <v>1624</v>
      </c>
      <c r="E1" s="16" t="s">
        <v>1625</v>
      </c>
      <c r="F1" s="16" t="s">
        <v>1627</v>
      </c>
      <c r="G1" s="16" t="s">
        <v>1618</v>
      </c>
      <c r="H1" s="16" t="s">
        <v>1626</v>
      </c>
      <c r="I1" s="16" t="s">
        <v>1766</v>
      </c>
      <c r="J1" s="16" t="s">
        <v>1628</v>
      </c>
      <c r="K1" s="16" t="s">
        <v>1670</v>
      </c>
      <c r="L1" s="16" t="s">
        <v>1629</v>
      </c>
      <c r="M1" s="16" t="s">
        <v>1634</v>
      </c>
      <c r="N1" s="16" t="s">
        <v>1740</v>
      </c>
      <c r="O1" s="16" t="s">
        <v>1681</v>
      </c>
      <c r="P1" s="16" t="s">
        <v>1723</v>
      </c>
    </row>
    <row r="2" spans="1:16">
      <c r="A2" s="16" t="s">
        <v>36</v>
      </c>
      <c r="C2" s="16" t="s">
        <v>37</v>
      </c>
      <c r="D2" s="16" t="s">
        <v>37</v>
      </c>
      <c r="E2" s="16" t="s">
        <v>38</v>
      </c>
      <c r="F2" s="16" t="s">
        <v>39</v>
      </c>
      <c r="G2" s="16" t="s">
        <v>40</v>
      </c>
      <c r="H2" s="16" t="s">
        <v>41</v>
      </c>
      <c r="I2" s="16" t="s">
        <v>1758</v>
      </c>
      <c r="K2" s="16" t="s">
        <v>42</v>
      </c>
      <c r="L2" s="16" t="s">
        <v>43</v>
      </c>
      <c r="M2" s="16" t="s">
        <v>1540</v>
      </c>
      <c r="P2" s="16" t="s">
        <v>44</v>
      </c>
    </row>
    <row r="3" spans="1:16">
      <c r="A3" s="16" t="s">
        <v>45</v>
      </c>
      <c r="C3" s="16" t="s">
        <v>46</v>
      </c>
      <c r="D3" s="16" t="s">
        <v>47</v>
      </c>
      <c r="E3" s="16" t="s">
        <v>48</v>
      </c>
      <c r="F3" s="16" t="s">
        <v>49</v>
      </c>
      <c r="G3" s="16" t="s">
        <v>50</v>
      </c>
      <c r="H3" s="16" t="s">
        <v>51</v>
      </c>
      <c r="I3" s="16" t="s">
        <v>1758</v>
      </c>
      <c r="J3" s="16" t="s">
        <v>52</v>
      </c>
      <c r="K3" s="16" t="s">
        <v>53</v>
      </c>
      <c r="L3" s="16" t="s">
        <v>43</v>
      </c>
      <c r="M3" s="16" t="s">
        <v>1539</v>
      </c>
    </row>
    <row r="4" spans="1:16">
      <c r="A4" s="16" t="s">
        <v>54</v>
      </c>
      <c r="C4" s="16" t="s">
        <v>55</v>
      </c>
      <c r="D4" s="16" t="s">
        <v>55</v>
      </c>
      <c r="E4" s="16" t="s">
        <v>56</v>
      </c>
      <c r="F4" s="16" t="s">
        <v>57</v>
      </c>
      <c r="G4" s="16" t="s">
        <v>58</v>
      </c>
      <c r="H4" s="16" t="s">
        <v>59</v>
      </c>
      <c r="I4" s="16" t="s">
        <v>1758</v>
      </c>
      <c r="L4" s="16" t="s">
        <v>60</v>
      </c>
      <c r="M4" s="16" t="s">
        <v>1540</v>
      </c>
    </row>
    <row r="5" spans="1:16">
      <c r="A5" s="16" t="s">
        <v>61</v>
      </c>
      <c r="C5" s="16" t="s">
        <v>62</v>
      </c>
      <c r="D5" s="16" t="s">
        <v>63</v>
      </c>
      <c r="E5" s="16" t="s">
        <v>64</v>
      </c>
      <c r="F5" s="16" t="s">
        <v>65</v>
      </c>
      <c r="G5" s="16" t="s">
        <v>66</v>
      </c>
      <c r="H5" s="16" t="s">
        <v>67</v>
      </c>
      <c r="I5" s="16" t="s">
        <v>1758</v>
      </c>
      <c r="K5" s="16" t="s">
        <v>68</v>
      </c>
      <c r="L5" s="16" t="s">
        <v>43</v>
      </c>
      <c r="M5" s="16" t="s">
        <v>1539</v>
      </c>
    </row>
    <row r="6" spans="1:16">
      <c r="A6" s="16" t="s">
        <v>69</v>
      </c>
      <c r="C6" s="16" t="s">
        <v>70</v>
      </c>
      <c r="D6" s="16" t="s">
        <v>70</v>
      </c>
      <c r="E6" s="16" t="s">
        <v>71</v>
      </c>
      <c r="F6" s="16" t="s">
        <v>72</v>
      </c>
      <c r="G6" s="16" t="s">
        <v>73</v>
      </c>
      <c r="H6" s="16" t="s">
        <v>74</v>
      </c>
      <c r="I6" s="16" t="s">
        <v>1758</v>
      </c>
      <c r="K6" s="16" t="s">
        <v>75</v>
      </c>
      <c r="L6" s="16" t="s">
        <v>43</v>
      </c>
      <c r="M6" s="16" t="s">
        <v>1539</v>
      </c>
    </row>
    <row r="7" spans="1:16">
      <c r="A7" s="16" t="s">
        <v>76</v>
      </c>
      <c r="C7" s="16" t="s">
        <v>77</v>
      </c>
      <c r="D7" s="16" t="s">
        <v>77</v>
      </c>
      <c r="E7" s="16" t="s">
        <v>78</v>
      </c>
      <c r="F7" s="16" t="s">
        <v>79</v>
      </c>
      <c r="G7" s="16" t="s">
        <v>80</v>
      </c>
      <c r="H7" s="16" t="s">
        <v>81</v>
      </c>
      <c r="I7" s="16" t="s">
        <v>1758</v>
      </c>
      <c r="K7" s="16" t="s">
        <v>82</v>
      </c>
      <c r="L7" s="16" t="s">
        <v>43</v>
      </c>
      <c r="M7" s="16" t="s">
        <v>1540</v>
      </c>
      <c r="P7" s="16" t="s">
        <v>83</v>
      </c>
    </row>
    <row r="8" spans="1:16">
      <c r="A8" s="16" t="s">
        <v>84</v>
      </c>
      <c r="C8" s="16" t="s">
        <v>85</v>
      </c>
      <c r="D8" s="16" t="s">
        <v>85</v>
      </c>
      <c r="E8" s="16" t="s">
        <v>86</v>
      </c>
      <c r="F8" s="16" t="s">
        <v>87</v>
      </c>
      <c r="G8" s="16" t="s">
        <v>88</v>
      </c>
      <c r="H8" s="16" t="s">
        <v>89</v>
      </c>
      <c r="I8" s="16" t="s">
        <v>1758</v>
      </c>
      <c r="K8" s="16" t="s">
        <v>90</v>
      </c>
      <c r="L8" s="16" t="s">
        <v>43</v>
      </c>
      <c r="M8" s="16" t="s">
        <v>1539</v>
      </c>
    </row>
    <row r="9" spans="1:16">
      <c r="A9" s="16" t="s">
        <v>91</v>
      </c>
      <c r="C9" s="16" t="s">
        <v>85</v>
      </c>
      <c r="D9" s="16" t="s">
        <v>85</v>
      </c>
      <c r="E9" s="16" t="s">
        <v>86</v>
      </c>
      <c r="F9" s="16" t="s">
        <v>92</v>
      </c>
      <c r="G9" s="16" t="s">
        <v>88</v>
      </c>
      <c r="H9" s="16" t="s">
        <v>93</v>
      </c>
      <c r="I9" s="16" t="s">
        <v>1758</v>
      </c>
      <c r="K9" s="16" t="s">
        <v>94</v>
      </c>
      <c r="L9" s="16" t="s">
        <v>43</v>
      </c>
      <c r="M9" s="16" t="s">
        <v>1539</v>
      </c>
    </row>
    <row r="10" spans="1:16">
      <c r="A10" s="16" t="s">
        <v>1708</v>
      </c>
      <c r="C10" s="16" t="s">
        <v>95</v>
      </c>
      <c r="D10" s="16" t="s">
        <v>95</v>
      </c>
      <c r="E10" s="16" t="s">
        <v>96</v>
      </c>
      <c r="F10" s="16" t="s">
        <v>97</v>
      </c>
      <c r="G10" s="16" t="s">
        <v>98</v>
      </c>
      <c r="H10" s="16" t="s">
        <v>99</v>
      </c>
      <c r="I10" s="16" t="s">
        <v>1758</v>
      </c>
      <c r="K10" s="16" t="s">
        <v>100</v>
      </c>
      <c r="L10" s="16" t="s">
        <v>43</v>
      </c>
      <c r="M10" s="16" t="s">
        <v>1539</v>
      </c>
    </row>
    <row r="11" spans="1:16">
      <c r="A11" s="16" t="s">
        <v>1709</v>
      </c>
      <c r="C11" s="16" t="s">
        <v>101</v>
      </c>
      <c r="D11" s="16" t="s">
        <v>101</v>
      </c>
      <c r="E11" s="16" t="s">
        <v>102</v>
      </c>
      <c r="F11" s="16" t="s">
        <v>103</v>
      </c>
      <c r="G11" s="16" t="s">
        <v>104</v>
      </c>
      <c r="H11" s="16" t="s">
        <v>105</v>
      </c>
      <c r="I11" s="16" t="s">
        <v>1760</v>
      </c>
      <c r="K11" s="16" t="s">
        <v>106</v>
      </c>
      <c r="L11" s="16" t="s">
        <v>43</v>
      </c>
      <c r="M11" s="16" t="s">
        <v>1539</v>
      </c>
    </row>
    <row r="12" spans="1:16">
      <c r="A12" s="16" t="s">
        <v>1725</v>
      </c>
      <c r="C12" s="16" t="s">
        <v>70</v>
      </c>
      <c r="D12" s="16" t="s">
        <v>70</v>
      </c>
      <c r="E12" s="16" t="s">
        <v>71</v>
      </c>
      <c r="F12" s="16" t="s">
        <v>103</v>
      </c>
      <c r="G12" s="16" t="s">
        <v>104</v>
      </c>
      <c r="H12" s="16" t="s">
        <v>105</v>
      </c>
      <c r="I12" s="16" t="s">
        <v>1759</v>
      </c>
      <c r="K12" s="16" t="s">
        <v>107</v>
      </c>
      <c r="L12" s="16" t="s">
        <v>43</v>
      </c>
      <c r="M12" s="16" t="s">
        <v>1539</v>
      </c>
    </row>
    <row r="13" spans="1:16">
      <c r="A13" s="16" t="s">
        <v>1726</v>
      </c>
      <c r="C13" s="16" t="s">
        <v>70</v>
      </c>
      <c r="D13" s="16" t="s">
        <v>70</v>
      </c>
      <c r="E13" s="16" t="s">
        <v>71</v>
      </c>
      <c r="F13" s="16" t="s">
        <v>108</v>
      </c>
      <c r="G13" s="16" t="s">
        <v>73</v>
      </c>
      <c r="H13" s="16" t="s">
        <v>109</v>
      </c>
      <c r="I13" s="16" t="s">
        <v>1758</v>
      </c>
      <c r="K13" s="16" t="s">
        <v>75</v>
      </c>
      <c r="L13" s="16" t="s">
        <v>110</v>
      </c>
      <c r="M13" s="16" t="s">
        <v>1540</v>
      </c>
    </row>
    <row r="14" spans="1:16">
      <c r="A14" s="16" t="s">
        <v>1727</v>
      </c>
      <c r="C14" s="16" t="s">
        <v>111</v>
      </c>
      <c r="D14" s="16" t="s">
        <v>111</v>
      </c>
      <c r="E14" s="16" t="s">
        <v>112</v>
      </c>
      <c r="F14" s="16" t="s">
        <v>113</v>
      </c>
      <c r="G14" s="16" t="s">
        <v>58</v>
      </c>
      <c r="H14" s="16" t="s">
        <v>114</v>
      </c>
      <c r="I14" s="16" t="s">
        <v>1758</v>
      </c>
      <c r="K14" s="16" t="s">
        <v>115</v>
      </c>
      <c r="L14" s="16" t="s">
        <v>43</v>
      </c>
      <c r="M14" s="16" t="s">
        <v>1539</v>
      </c>
      <c r="P14" s="16" t="s">
        <v>116</v>
      </c>
    </row>
    <row r="15" spans="1:16">
      <c r="A15" s="16" t="s">
        <v>1728</v>
      </c>
      <c r="C15" s="16" t="s">
        <v>70</v>
      </c>
      <c r="D15" s="16" t="s">
        <v>70</v>
      </c>
      <c r="E15" s="16" t="s">
        <v>71</v>
      </c>
      <c r="F15" s="16" t="s">
        <v>117</v>
      </c>
      <c r="G15" s="16" t="s">
        <v>98</v>
      </c>
      <c r="H15" s="16" t="s">
        <v>118</v>
      </c>
      <c r="I15" s="16" t="s">
        <v>1758</v>
      </c>
      <c r="K15" s="16" t="s">
        <v>75</v>
      </c>
      <c r="L15" s="16" t="s">
        <v>110</v>
      </c>
      <c r="M15" s="16" t="s">
        <v>1539</v>
      </c>
    </row>
    <row r="16" spans="1:16">
      <c r="A16" s="16" t="s">
        <v>1729</v>
      </c>
      <c r="C16" s="16" t="s">
        <v>119</v>
      </c>
      <c r="D16" s="16" t="s">
        <v>119</v>
      </c>
      <c r="E16" s="16" t="s">
        <v>120</v>
      </c>
      <c r="F16" s="16" t="s">
        <v>121</v>
      </c>
      <c r="G16" s="16" t="s">
        <v>122</v>
      </c>
      <c r="H16" s="16" t="s">
        <v>123</v>
      </c>
      <c r="I16" s="16" t="s">
        <v>1758</v>
      </c>
      <c r="K16" s="16" t="s">
        <v>124</v>
      </c>
      <c r="L16" s="16" t="s">
        <v>43</v>
      </c>
      <c r="M16" s="16" t="s">
        <v>1540</v>
      </c>
    </row>
    <row r="17" spans="1:16">
      <c r="A17" s="16" t="s">
        <v>125</v>
      </c>
      <c r="C17" s="16" t="s">
        <v>46</v>
      </c>
      <c r="D17" s="16" t="s">
        <v>126</v>
      </c>
      <c r="E17" s="16" t="s">
        <v>127</v>
      </c>
      <c r="F17" s="16" t="s">
        <v>128</v>
      </c>
      <c r="G17" s="16" t="s">
        <v>73</v>
      </c>
      <c r="H17" s="16" t="s">
        <v>129</v>
      </c>
      <c r="I17" s="16" t="s">
        <v>1758</v>
      </c>
      <c r="K17" s="16" t="s">
        <v>130</v>
      </c>
      <c r="L17" s="16" t="s">
        <v>43</v>
      </c>
      <c r="M17" s="16" t="s">
        <v>1539</v>
      </c>
    </row>
    <row r="18" spans="1:16">
      <c r="A18" s="16" t="s">
        <v>131</v>
      </c>
      <c r="C18" s="16" t="s">
        <v>70</v>
      </c>
      <c r="D18" s="16" t="s">
        <v>70</v>
      </c>
      <c r="E18" s="16" t="s">
        <v>71</v>
      </c>
      <c r="F18" s="16" t="s">
        <v>132</v>
      </c>
      <c r="G18" s="16" t="s">
        <v>40</v>
      </c>
      <c r="H18" s="16" t="s">
        <v>133</v>
      </c>
      <c r="I18" s="16" t="s">
        <v>1758</v>
      </c>
      <c r="K18" s="16" t="s">
        <v>134</v>
      </c>
      <c r="L18" s="16" t="s">
        <v>43</v>
      </c>
      <c r="M18" s="16" t="s">
        <v>1539</v>
      </c>
    </row>
    <row r="19" spans="1:16">
      <c r="A19" s="16" t="s">
        <v>135</v>
      </c>
      <c r="C19" s="16" t="s">
        <v>136</v>
      </c>
      <c r="D19" s="16" t="s">
        <v>136</v>
      </c>
      <c r="E19" s="16" t="s">
        <v>137</v>
      </c>
      <c r="F19" s="16" t="s">
        <v>138</v>
      </c>
      <c r="G19" s="16" t="s">
        <v>139</v>
      </c>
      <c r="H19" s="16" t="s">
        <v>140</v>
      </c>
      <c r="I19" s="16" t="s">
        <v>1758</v>
      </c>
      <c r="K19" s="16" t="s">
        <v>141</v>
      </c>
      <c r="L19" s="16" t="s">
        <v>43</v>
      </c>
      <c r="M19" s="16" t="s">
        <v>1540</v>
      </c>
    </row>
    <row r="20" spans="1:16">
      <c r="A20" s="16" t="s">
        <v>142</v>
      </c>
      <c r="C20" s="16" t="s">
        <v>85</v>
      </c>
      <c r="D20" s="16" t="s">
        <v>85</v>
      </c>
      <c r="E20" s="16" t="s">
        <v>86</v>
      </c>
      <c r="F20" s="16" t="s">
        <v>143</v>
      </c>
      <c r="G20" s="16" t="s">
        <v>88</v>
      </c>
      <c r="H20" s="16" t="s">
        <v>144</v>
      </c>
      <c r="I20" s="16" t="s">
        <v>1758</v>
      </c>
      <c r="K20" s="16" t="s">
        <v>90</v>
      </c>
      <c r="L20" s="16" t="s">
        <v>43</v>
      </c>
      <c r="M20" s="16" t="s">
        <v>1540</v>
      </c>
    </row>
    <row r="21" spans="1:16">
      <c r="A21" s="16" t="s">
        <v>145</v>
      </c>
      <c r="C21" s="16" t="s">
        <v>70</v>
      </c>
      <c r="D21" s="16" t="s">
        <v>70</v>
      </c>
      <c r="E21" s="16" t="s">
        <v>71</v>
      </c>
      <c r="F21" s="16" t="s">
        <v>146</v>
      </c>
      <c r="G21" s="16" t="s">
        <v>40</v>
      </c>
      <c r="H21" s="16" t="s">
        <v>147</v>
      </c>
      <c r="I21" s="16" t="s">
        <v>1758</v>
      </c>
      <c r="K21" s="16" t="s">
        <v>134</v>
      </c>
      <c r="L21" s="16" t="s">
        <v>43</v>
      </c>
      <c r="M21" s="16" t="s">
        <v>1540</v>
      </c>
      <c r="P21" s="16" t="s">
        <v>148</v>
      </c>
    </row>
    <row r="22" spans="1:16">
      <c r="A22" s="16" t="s">
        <v>149</v>
      </c>
      <c r="C22" s="16" t="s">
        <v>85</v>
      </c>
      <c r="D22" s="16" t="s">
        <v>85</v>
      </c>
      <c r="E22" s="16" t="s">
        <v>86</v>
      </c>
      <c r="F22" s="16" t="s">
        <v>150</v>
      </c>
      <c r="G22" s="16" t="s">
        <v>88</v>
      </c>
      <c r="H22" s="16" t="s">
        <v>151</v>
      </c>
      <c r="I22" s="16" t="s">
        <v>1758</v>
      </c>
      <c r="K22" s="16" t="s">
        <v>152</v>
      </c>
      <c r="L22" s="16" t="s">
        <v>43</v>
      </c>
      <c r="M22" s="16" t="s">
        <v>1539</v>
      </c>
    </row>
    <row r="23" spans="1:16">
      <c r="A23" s="16" t="s">
        <v>153</v>
      </c>
      <c r="C23" s="16" t="s">
        <v>101</v>
      </c>
      <c r="D23" s="16" t="s">
        <v>101</v>
      </c>
      <c r="E23" s="16" t="s">
        <v>102</v>
      </c>
      <c r="F23" s="16" t="s">
        <v>39</v>
      </c>
      <c r="G23" s="16" t="s">
        <v>40</v>
      </c>
      <c r="H23" s="16" t="s">
        <v>41</v>
      </c>
      <c r="I23" s="16" t="s">
        <v>1760</v>
      </c>
      <c r="K23" s="16" t="s">
        <v>154</v>
      </c>
      <c r="L23" s="16" t="s">
        <v>43</v>
      </c>
      <c r="M23" s="16" t="s">
        <v>1539</v>
      </c>
    </row>
    <row r="24" spans="1:16">
      <c r="A24" s="16" t="s">
        <v>155</v>
      </c>
      <c r="C24" s="16" t="s">
        <v>101</v>
      </c>
      <c r="D24" s="16" t="s">
        <v>101</v>
      </c>
      <c r="E24" s="16" t="s">
        <v>102</v>
      </c>
      <c r="F24" s="16" t="s">
        <v>39</v>
      </c>
      <c r="G24" s="16" t="s">
        <v>40</v>
      </c>
      <c r="H24" s="16" t="s">
        <v>41</v>
      </c>
      <c r="I24" s="16" t="s">
        <v>1760</v>
      </c>
      <c r="K24" s="16" t="s">
        <v>156</v>
      </c>
      <c r="L24" s="16" t="s">
        <v>43</v>
      </c>
      <c r="M24" s="16" t="s">
        <v>1539</v>
      </c>
    </row>
    <row r="25" spans="1:16">
      <c r="A25" s="16" t="s">
        <v>157</v>
      </c>
      <c r="C25" s="16" t="s">
        <v>158</v>
      </c>
      <c r="D25" s="16" t="s">
        <v>159</v>
      </c>
      <c r="E25" s="16" t="s">
        <v>160</v>
      </c>
      <c r="F25" s="16" t="s">
        <v>39</v>
      </c>
      <c r="G25" s="16" t="s">
        <v>40</v>
      </c>
      <c r="H25" s="16" t="s">
        <v>41</v>
      </c>
      <c r="I25" s="16" t="s">
        <v>1759</v>
      </c>
      <c r="K25" s="16" t="s">
        <v>161</v>
      </c>
      <c r="L25" s="16" t="s">
        <v>110</v>
      </c>
      <c r="M25" s="16" t="s">
        <v>1539</v>
      </c>
    </row>
    <row r="26" spans="1:16">
      <c r="A26" s="16" t="s">
        <v>162</v>
      </c>
      <c r="C26" s="16" t="s">
        <v>163</v>
      </c>
      <c r="D26" s="16" t="s">
        <v>163</v>
      </c>
      <c r="E26" s="16" t="s">
        <v>164</v>
      </c>
      <c r="F26" s="16" t="s">
        <v>165</v>
      </c>
      <c r="G26" s="16" t="s">
        <v>166</v>
      </c>
      <c r="H26" s="16" t="s">
        <v>167</v>
      </c>
      <c r="I26" s="16" t="s">
        <v>1758</v>
      </c>
      <c r="K26" s="16" t="s">
        <v>168</v>
      </c>
      <c r="L26" s="16" t="s">
        <v>43</v>
      </c>
      <c r="M26" s="16" t="s">
        <v>1539</v>
      </c>
    </row>
    <row r="27" spans="1:16">
      <c r="A27" s="16" t="s">
        <v>169</v>
      </c>
      <c r="C27" s="16" t="s">
        <v>170</v>
      </c>
      <c r="D27" s="16" t="s">
        <v>170</v>
      </c>
      <c r="E27" s="16" t="s">
        <v>171</v>
      </c>
      <c r="F27" s="16" t="s">
        <v>172</v>
      </c>
      <c r="G27" s="16" t="s">
        <v>173</v>
      </c>
      <c r="H27" s="16" t="s">
        <v>174</v>
      </c>
      <c r="I27" s="16" t="s">
        <v>1758</v>
      </c>
      <c r="K27" s="16" t="s">
        <v>175</v>
      </c>
      <c r="L27" s="16" t="s">
        <v>43</v>
      </c>
      <c r="M27" s="16" t="s">
        <v>1540</v>
      </c>
    </row>
    <row r="28" spans="1:16">
      <c r="A28" s="16" t="s">
        <v>176</v>
      </c>
      <c r="C28" s="16" t="s">
        <v>177</v>
      </c>
      <c r="D28" s="16" t="s">
        <v>177</v>
      </c>
      <c r="E28" s="16" t="s">
        <v>178</v>
      </c>
      <c r="F28" s="16" t="s">
        <v>179</v>
      </c>
      <c r="G28" s="16" t="s">
        <v>180</v>
      </c>
      <c r="H28" s="16" t="s">
        <v>181</v>
      </c>
      <c r="I28" s="16" t="s">
        <v>1758</v>
      </c>
      <c r="K28" s="16" t="s">
        <v>182</v>
      </c>
      <c r="L28" s="16" t="s">
        <v>43</v>
      </c>
      <c r="M28" s="16" t="s">
        <v>1540</v>
      </c>
    </row>
    <row r="29" spans="1:16">
      <c r="A29" s="16" t="s">
        <v>183</v>
      </c>
      <c r="C29" s="16" t="s">
        <v>184</v>
      </c>
      <c r="D29" s="16" t="s">
        <v>184</v>
      </c>
      <c r="E29" s="16" t="s">
        <v>185</v>
      </c>
      <c r="F29" s="16" t="s">
        <v>186</v>
      </c>
      <c r="G29" s="16" t="s">
        <v>187</v>
      </c>
      <c r="H29" s="16" t="s">
        <v>188</v>
      </c>
      <c r="I29" s="16" t="s">
        <v>1758</v>
      </c>
      <c r="K29" s="16" t="s">
        <v>189</v>
      </c>
      <c r="L29" s="16" t="s">
        <v>43</v>
      </c>
      <c r="M29" s="16" t="s">
        <v>1539</v>
      </c>
      <c r="P29" s="16" t="s">
        <v>190</v>
      </c>
    </row>
    <row r="30" spans="1:16">
      <c r="A30" s="16" t="s">
        <v>191</v>
      </c>
      <c r="C30" s="16" t="s">
        <v>46</v>
      </c>
      <c r="D30" s="16" t="s">
        <v>126</v>
      </c>
      <c r="E30" s="16" t="s">
        <v>127</v>
      </c>
      <c r="F30" s="16" t="s">
        <v>192</v>
      </c>
      <c r="G30" s="16" t="s">
        <v>193</v>
      </c>
      <c r="H30" s="16" t="s">
        <v>194</v>
      </c>
      <c r="I30" s="16" t="s">
        <v>1758</v>
      </c>
      <c r="K30" s="16" t="s">
        <v>195</v>
      </c>
      <c r="L30" s="16" t="s">
        <v>43</v>
      </c>
      <c r="M30" s="16" t="s">
        <v>1539</v>
      </c>
      <c r="P30" s="16" t="s">
        <v>194</v>
      </c>
    </row>
    <row r="31" spans="1:16">
      <c r="A31" s="16" t="s">
        <v>196</v>
      </c>
      <c r="C31" s="16" t="s">
        <v>197</v>
      </c>
      <c r="D31" s="16" t="s">
        <v>197</v>
      </c>
      <c r="E31" s="16" t="s">
        <v>198</v>
      </c>
      <c r="F31" s="16" t="s">
        <v>199</v>
      </c>
      <c r="G31" s="16" t="s">
        <v>200</v>
      </c>
      <c r="H31" s="16" t="s">
        <v>201</v>
      </c>
      <c r="I31" s="16" t="s">
        <v>1758</v>
      </c>
      <c r="J31" s="16" t="s">
        <v>202</v>
      </c>
      <c r="K31" s="16" t="s">
        <v>203</v>
      </c>
      <c r="L31" s="16" t="s">
        <v>204</v>
      </c>
      <c r="M31" s="16" t="s">
        <v>1539</v>
      </c>
      <c r="N31" s="16" t="s">
        <v>1738</v>
      </c>
    </row>
    <row r="32" spans="1:16">
      <c r="A32" s="16" t="s">
        <v>205</v>
      </c>
      <c r="C32" s="16" t="s">
        <v>136</v>
      </c>
      <c r="D32" s="16" t="s">
        <v>136</v>
      </c>
      <c r="E32" s="16" t="s">
        <v>137</v>
      </c>
      <c r="F32" s="16" t="s">
        <v>206</v>
      </c>
      <c r="G32" s="16" t="s">
        <v>139</v>
      </c>
      <c r="H32" s="16" t="s">
        <v>207</v>
      </c>
      <c r="I32" s="16" t="s">
        <v>1758</v>
      </c>
      <c r="K32" s="16" t="s">
        <v>208</v>
      </c>
      <c r="L32" s="16" t="s">
        <v>110</v>
      </c>
      <c r="M32" s="16" t="s">
        <v>1539</v>
      </c>
    </row>
    <row r="33" spans="1:16">
      <c r="A33" s="16" t="s">
        <v>209</v>
      </c>
      <c r="C33" s="16" t="s">
        <v>210</v>
      </c>
      <c r="D33" s="16" t="s">
        <v>210</v>
      </c>
      <c r="E33" s="16" t="s">
        <v>211</v>
      </c>
      <c r="F33" s="16" t="s">
        <v>212</v>
      </c>
      <c r="G33" s="16" t="s">
        <v>213</v>
      </c>
      <c r="H33" s="16" t="s">
        <v>214</v>
      </c>
      <c r="I33" s="16" t="s">
        <v>1758</v>
      </c>
      <c r="K33" s="16" t="s">
        <v>215</v>
      </c>
      <c r="L33" s="16" t="s">
        <v>43</v>
      </c>
      <c r="M33" s="16" t="s">
        <v>1540</v>
      </c>
      <c r="P33" s="16" t="s">
        <v>216</v>
      </c>
    </row>
    <row r="34" spans="1:16">
      <c r="A34" s="16" t="s">
        <v>217</v>
      </c>
      <c r="C34" s="16" t="s">
        <v>85</v>
      </c>
      <c r="D34" s="16" t="s">
        <v>85</v>
      </c>
      <c r="E34" s="16" t="s">
        <v>86</v>
      </c>
      <c r="F34" s="16" t="s">
        <v>218</v>
      </c>
      <c r="G34" s="16" t="s">
        <v>88</v>
      </c>
      <c r="H34" s="16" t="s">
        <v>219</v>
      </c>
      <c r="I34" s="16" t="s">
        <v>1758</v>
      </c>
      <c r="K34" s="16" t="s">
        <v>220</v>
      </c>
      <c r="L34" s="16" t="s">
        <v>43</v>
      </c>
      <c r="M34" s="16" t="s">
        <v>1539</v>
      </c>
    </row>
    <row r="35" spans="1:16">
      <c r="A35" s="16" t="s">
        <v>221</v>
      </c>
      <c r="C35" s="16" t="s">
        <v>95</v>
      </c>
      <c r="D35" s="16" t="s">
        <v>95</v>
      </c>
      <c r="E35" s="16" t="s">
        <v>96</v>
      </c>
      <c r="F35" s="16" t="s">
        <v>222</v>
      </c>
      <c r="G35" s="16" t="s">
        <v>223</v>
      </c>
      <c r="H35" s="16" t="s">
        <v>224</v>
      </c>
      <c r="I35" s="16" t="s">
        <v>1758</v>
      </c>
      <c r="J35" s="16" t="s">
        <v>225</v>
      </c>
      <c r="K35" s="16" t="s">
        <v>226</v>
      </c>
      <c r="L35" s="16" t="s">
        <v>204</v>
      </c>
      <c r="M35" s="16" t="s">
        <v>1539</v>
      </c>
      <c r="N35" s="16" t="s">
        <v>1738</v>
      </c>
      <c r="P35" s="16" t="s">
        <v>227</v>
      </c>
    </row>
    <row r="36" spans="1:16">
      <c r="A36" s="16" t="s">
        <v>228</v>
      </c>
      <c r="C36" s="16" t="s">
        <v>95</v>
      </c>
      <c r="D36" s="16" t="s">
        <v>95</v>
      </c>
      <c r="E36" s="16" t="s">
        <v>96</v>
      </c>
      <c r="F36" s="16" t="s">
        <v>222</v>
      </c>
      <c r="G36" s="16" t="s">
        <v>223</v>
      </c>
      <c r="H36" s="16" t="s">
        <v>224</v>
      </c>
      <c r="I36" s="16" t="s">
        <v>1758</v>
      </c>
      <c r="J36" s="16" t="s">
        <v>229</v>
      </c>
      <c r="K36" s="16" t="s">
        <v>230</v>
      </c>
      <c r="L36" s="16" t="s">
        <v>43</v>
      </c>
      <c r="M36" s="16" t="s">
        <v>1539</v>
      </c>
      <c r="P36" s="16" t="s">
        <v>227</v>
      </c>
    </row>
    <row r="37" spans="1:16">
      <c r="A37" s="16" t="s">
        <v>231</v>
      </c>
      <c r="C37" s="16" t="s">
        <v>37</v>
      </c>
      <c r="D37" s="16" t="s">
        <v>37</v>
      </c>
      <c r="E37" s="16" t="s">
        <v>38</v>
      </c>
      <c r="F37" s="16" t="s">
        <v>232</v>
      </c>
      <c r="G37" s="16" t="s">
        <v>233</v>
      </c>
      <c r="H37" s="16" t="s">
        <v>234</v>
      </c>
      <c r="I37" s="16" t="s">
        <v>1758</v>
      </c>
      <c r="K37" s="16" t="s">
        <v>235</v>
      </c>
      <c r="L37" s="16" t="s">
        <v>43</v>
      </c>
      <c r="M37" s="16" t="s">
        <v>1540</v>
      </c>
    </row>
    <row r="38" spans="1:16">
      <c r="A38" s="16" t="s">
        <v>236</v>
      </c>
      <c r="C38" s="16" t="s">
        <v>237</v>
      </c>
      <c r="D38" s="16" t="s">
        <v>237</v>
      </c>
      <c r="E38" s="16" t="s">
        <v>238</v>
      </c>
      <c r="F38" s="16" t="s">
        <v>239</v>
      </c>
      <c r="G38" s="16" t="s">
        <v>240</v>
      </c>
      <c r="H38" s="16" t="s">
        <v>241</v>
      </c>
      <c r="I38" s="16" t="s">
        <v>1758</v>
      </c>
      <c r="K38" s="16" t="s">
        <v>242</v>
      </c>
      <c r="L38" s="16" t="s">
        <v>43</v>
      </c>
      <c r="M38" s="16" t="s">
        <v>1539</v>
      </c>
      <c r="P38" s="16" t="s">
        <v>243</v>
      </c>
    </row>
    <row r="39" spans="1:16">
      <c r="A39" s="16" t="s">
        <v>244</v>
      </c>
      <c r="C39" s="16" t="s">
        <v>245</v>
      </c>
      <c r="D39" s="16" t="s">
        <v>245</v>
      </c>
      <c r="E39" s="16" t="s">
        <v>246</v>
      </c>
      <c r="F39" s="16" t="s">
        <v>247</v>
      </c>
      <c r="G39" s="16" t="s">
        <v>248</v>
      </c>
      <c r="H39" s="16" t="s">
        <v>249</v>
      </c>
      <c r="I39" s="16" t="s">
        <v>1758</v>
      </c>
      <c r="K39" s="16" t="s">
        <v>250</v>
      </c>
      <c r="L39" s="16" t="s">
        <v>43</v>
      </c>
      <c r="M39" s="16" t="s">
        <v>1540</v>
      </c>
    </row>
    <row r="40" spans="1:16">
      <c r="A40" s="16" t="s">
        <v>251</v>
      </c>
      <c r="C40" s="16" t="s">
        <v>197</v>
      </c>
      <c r="D40" s="16" t="s">
        <v>197</v>
      </c>
      <c r="E40" s="16" t="s">
        <v>198</v>
      </c>
      <c r="F40" s="16" t="s">
        <v>252</v>
      </c>
      <c r="G40" s="16" t="s">
        <v>253</v>
      </c>
      <c r="H40" s="16" t="s">
        <v>254</v>
      </c>
      <c r="I40" s="16" t="s">
        <v>1758</v>
      </c>
      <c r="K40" s="16" t="s">
        <v>255</v>
      </c>
      <c r="L40" s="16" t="s">
        <v>110</v>
      </c>
      <c r="M40" s="16" t="s">
        <v>1540</v>
      </c>
    </row>
    <row r="41" spans="1:16">
      <c r="A41" s="16" t="s">
        <v>256</v>
      </c>
      <c r="C41" s="16" t="s">
        <v>163</v>
      </c>
      <c r="D41" s="16" t="s">
        <v>163</v>
      </c>
      <c r="E41" s="16" t="s">
        <v>164</v>
      </c>
      <c r="F41" s="16" t="s">
        <v>257</v>
      </c>
      <c r="G41" s="16" t="s">
        <v>166</v>
      </c>
      <c r="H41" s="16" t="s">
        <v>258</v>
      </c>
      <c r="I41" s="16" t="s">
        <v>1758</v>
      </c>
      <c r="K41" s="16" t="s">
        <v>259</v>
      </c>
      <c r="L41" s="16" t="s">
        <v>43</v>
      </c>
      <c r="M41" s="16" t="s">
        <v>1539</v>
      </c>
      <c r="P41" s="16" t="s">
        <v>260</v>
      </c>
    </row>
    <row r="42" spans="1:16">
      <c r="A42" s="16" t="s">
        <v>261</v>
      </c>
      <c r="C42" s="16" t="s">
        <v>262</v>
      </c>
      <c r="D42" s="16" t="s">
        <v>263</v>
      </c>
      <c r="E42" s="16" t="s">
        <v>264</v>
      </c>
      <c r="F42" s="16" t="s">
        <v>265</v>
      </c>
      <c r="G42" s="16" t="s">
        <v>266</v>
      </c>
      <c r="H42" s="16" t="s">
        <v>267</v>
      </c>
      <c r="I42" s="16" t="s">
        <v>1758</v>
      </c>
      <c r="K42" s="16" t="s">
        <v>268</v>
      </c>
      <c r="L42" s="16" t="s">
        <v>110</v>
      </c>
      <c r="M42" s="16" t="s">
        <v>1540</v>
      </c>
      <c r="P42" s="16" t="s">
        <v>269</v>
      </c>
    </row>
    <row r="43" spans="1:16">
      <c r="A43" s="16" t="s">
        <v>270</v>
      </c>
      <c r="C43" s="16" t="s">
        <v>271</v>
      </c>
      <c r="D43" s="16" t="s">
        <v>271</v>
      </c>
      <c r="E43" s="16" t="s">
        <v>272</v>
      </c>
      <c r="F43" s="16" t="s">
        <v>273</v>
      </c>
      <c r="G43" s="16" t="s">
        <v>274</v>
      </c>
      <c r="H43" s="16" t="s">
        <v>275</v>
      </c>
      <c r="I43" s="16" t="s">
        <v>1758</v>
      </c>
      <c r="K43" s="16" t="s">
        <v>276</v>
      </c>
      <c r="L43" s="16" t="s">
        <v>43</v>
      </c>
      <c r="M43" s="16" t="s">
        <v>1539</v>
      </c>
      <c r="P43" s="16" t="s">
        <v>277</v>
      </c>
    </row>
    <row r="44" spans="1:16">
      <c r="A44" s="16" t="s">
        <v>278</v>
      </c>
      <c r="C44" s="16" t="s">
        <v>136</v>
      </c>
      <c r="D44" s="16" t="s">
        <v>136</v>
      </c>
      <c r="E44" s="16" t="s">
        <v>137</v>
      </c>
      <c r="F44" s="16" t="s">
        <v>279</v>
      </c>
      <c r="G44" s="16" t="s">
        <v>280</v>
      </c>
      <c r="H44" s="16" t="s">
        <v>281</v>
      </c>
      <c r="I44" s="16" t="s">
        <v>1758</v>
      </c>
      <c r="K44" s="16" t="s">
        <v>282</v>
      </c>
      <c r="L44" s="16" t="s">
        <v>110</v>
      </c>
      <c r="M44" s="16" t="s">
        <v>1539</v>
      </c>
    </row>
    <row r="45" spans="1:16">
      <c r="A45" s="16" t="s">
        <v>283</v>
      </c>
      <c r="C45" s="16" t="s">
        <v>70</v>
      </c>
      <c r="D45" s="16" t="s">
        <v>70</v>
      </c>
      <c r="E45" s="16" t="s">
        <v>71</v>
      </c>
      <c r="F45" s="16" t="s">
        <v>284</v>
      </c>
      <c r="G45" s="16" t="s">
        <v>40</v>
      </c>
      <c r="H45" s="16" t="s">
        <v>285</v>
      </c>
      <c r="I45" s="16" t="s">
        <v>1758</v>
      </c>
      <c r="K45" s="16" t="s">
        <v>286</v>
      </c>
      <c r="L45" s="16" t="s">
        <v>43</v>
      </c>
      <c r="M45" s="16" t="s">
        <v>1539</v>
      </c>
      <c r="P45" s="16" t="s">
        <v>287</v>
      </c>
    </row>
    <row r="46" spans="1:16">
      <c r="A46" s="16" t="s">
        <v>288</v>
      </c>
      <c r="C46" s="16" t="s">
        <v>136</v>
      </c>
      <c r="D46" s="16" t="s">
        <v>136</v>
      </c>
      <c r="E46" s="16" t="s">
        <v>137</v>
      </c>
      <c r="F46" s="16" t="s">
        <v>289</v>
      </c>
      <c r="G46" s="16" t="s">
        <v>290</v>
      </c>
      <c r="H46" s="16" t="s">
        <v>291</v>
      </c>
      <c r="I46" s="16" t="s">
        <v>1758</v>
      </c>
      <c r="J46" s="16" t="s">
        <v>292</v>
      </c>
      <c r="K46" s="16" t="s">
        <v>293</v>
      </c>
      <c r="L46" s="16" t="s">
        <v>204</v>
      </c>
      <c r="M46" s="16" t="s">
        <v>1539</v>
      </c>
      <c r="N46" s="16" t="s">
        <v>1739</v>
      </c>
      <c r="P46" s="16" t="s">
        <v>294</v>
      </c>
    </row>
    <row r="47" spans="1:16">
      <c r="A47" s="16" t="s">
        <v>295</v>
      </c>
      <c r="C47" s="16" t="s">
        <v>46</v>
      </c>
      <c r="D47" s="16" t="s">
        <v>296</v>
      </c>
      <c r="E47" s="16" t="s">
        <v>297</v>
      </c>
      <c r="F47" s="16" t="s">
        <v>298</v>
      </c>
      <c r="G47" s="16" t="s">
        <v>50</v>
      </c>
      <c r="H47" s="16" t="s">
        <v>299</v>
      </c>
      <c r="I47" s="16" t="s">
        <v>1758</v>
      </c>
      <c r="J47" s="16" t="s">
        <v>300</v>
      </c>
      <c r="K47" s="16" t="s">
        <v>301</v>
      </c>
      <c r="L47" s="16" t="s">
        <v>204</v>
      </c>
      <c r="M47" s="16" t="s">
        <v>1539</v>
      </c>
      <c r="N47" s="16" t="s">
        <v>1739</v>
      </c>
    </row>
    <row r="48" spans="1:16">
      <c r="A48" s="16" t="s">
        <v>302</v>
      </c>
      <c r="C48" s="16" t="s">
        <v>163</v>
      </c>
      <c r="D48" s="16" t="s">
        <v>163</v>
      </c>
      <c r="E48" s="16" t="s">
        <v>164</v>
      </c>
      <c r="F48" s="16" t="s">
        <v>303</v>
      </c>
      <c r="G48" s="16" t="s">
        <v>166</v>
      </c>
      <c r="H48" s="16" t="s">
        <v>304</v>
      </c>
      <c r="I48" s="16" t="s">
        <v>1758</v>
      </c>
      <c r="K48" s="16" t="s">
        <v>305</v>
      </c>
      <c r="L48" s="16" t="s">
        <v>43</v>
      </c>
      <c r="M48" s="16" t="s">
        <v>1539</v>
      </c>
    </row>
    <row r="49" spans="1:16">
      <c r="A49" s="16" t="s">
        <v>306</v>
      </c>
      <c r="C49" s="16" t="s">
        <v>271</v>
      </c>
      <c r="D49" s="16" t="s">
        <v>271</v>
      </c>
      <c r="E49" s="16" t="s">
        <v>272</v>
      </c>
      <c r="F49" s="16" t="s">
        <v>307</v>
      </c>
      <c r="G49" s="16" t="s">
        <v>274</v>
      </c>
      <c r="H49" s="16" t="s">
        <v>308</v>
      </c>
      <c r="I49" s="16" t="s">
        <v>1758</v>
      </c>
      <c r="K49" s="16" t="s">
        <v>309</v>
      </c>
      <c r="L49" s="16" t="s">
        <v>43</v>
      </c>
      <c r="M49" s="16" t="s">
        <v>1539</v>
      </c>
      <c r="P49" s="16" t="s">
        <v>310</v>
      </c>
    </row>
    <row r="50" spans="1:16">
      <c r="A50" s="16" t="s">
        <v>311</v>
      </c>
      <c r="C50" s="16" t="s">
        <v>46</v>
      </c>
      <c r="D50" s="16" t="s">
        <v>47</v>
      </c>
      <c r="E50" s="16" t="s">
        <v>48</v>
      </c>
      <c r="F50" s="16" t="s">
        <v>312</v>
      </c>
      <c r="G50" s="16" t="s">
        <v>313</v>
      </c>
      <c r="H50" s="16" t="s">
        <v>314</v>
      </c>
      <c r="I50" s="16" t="s">
        <v>1759</v>
      </c>
      <c r="K50" s="16" t="s">
        <v>315</v>
      </c>
      <c r="L50" s="16" t="s">
        <v>43</v>
      </c>
      <c r="M50" s="16" t="s">
        <v>1539</v>
      </c>
    </row>
    <row r="51" spans="1:16">
      <c r="A51" s="16" t="s">
        <v>316</v>
      </c>
      <c r="C51" s="16" t="s">
        <v>46</v>
      </c>
      <c r="D51" s="16" t="s">
        <v>47</v>
      </c>
      <c r="E51" s="16" t="s">
        <v>48</v>
      </c>
      <c r="F51" s="16" t="s">
        <v>312</v>
      </c>
      <c r="G51" s="16" t="s">
        <v>313</v>
      </c>
      <c r="H51" s="16" t="s">
        <v>314</v>
      </c>
      <c r="I51" s="16" t="s">
        <v>1759</v>
      </c>
      <c r="J51" s="16" t="s">
        <v>317</v>
      </c>
      <c r="K51" s="16" t="s">
        <v>318</v>
      </c>
      <c r="L51" s="16" t="s">
        <v>43</v>
      </c>
      <c r="M51" s="16" t="s">
        <v>1539</v>
      </c>
    </row>
    <row r="52" spans="1:16">
      <c r="A52" s="16" t="s">
        <v>319</v>
      </c>
      <c r="C52" s="16" t="s">
        <v>320</v>
      </c>
      <c r="D52" s="16" t="s">
        <v>321</v>
      </c>
      <c r="E52" s="16" t="s">
        <v>322</v>
      </c>
      <c r="F52" s="16" t="s">
        <v>312</v>
      </c>
      <c r="G52" s="16" t="s">
        <v>313</v>
      </c>
      <c r="H52" s="16" t="s">
        <v>314</v>
      </c>
      <c r="I52" s="16" t="s">
        <v>1759</v>
      </c>
      <c r="J52" s="16" t="s">
        <v>317</v>
      </c>
      <c r="K52" s="16" t="s">
        <v>323</v>
      </c>
      <c r="L52" s="16" t="s">
        <v>43</v>
      </c>
      <c r="M52" s="16" t="s">
        <v>1539</v>
      </c>
    </row>
    <row r="53" spans="1:16">
      <c r="A53" s="16" t="s">
        <v>324</v>
      </c>
      <c r="C53" s="16" t="s">
        <v>262</v>
      </c>
      <c r="D53" s="16" t="s">
        <v>325</v>
      </c>
      <c r="E53" s="16" t="s">
        <v>326</v>
      </c>
      <c r="F53" s="16" t="s">
        <v>312</v>
      </c>
      <c r="G53" s="16" t="s">
        <v>313</v>
      </c>
      <c r="H53" s="16" t="s">
        <v>314</v>
      </c>
      <c r="I53" s="16" t="s">
        <v>1759</v>
      </c>
      <c r="J53" s="16" t="s">
        <v>317</v>
      </c>
      <c r="K53" s="16" t="s">
        <v>327</v>
      </c>
      <c r="L53" s="16" t="s">
        <v>110</v>
      </c>
      <c r="M53" s="16" t="s">
        <v>1539</v>
      </c>
    </row>
    <row r="54" spans="1:16">
      <c r="A54" s="16" t="s">
        <v>328</v>
      </c>
      <c r="C54" s="16" t="s">
        <v>329</v>
      </c>
      <c r="D54" s="16" t="s">
        <v>330</v>
      </c>
      <c r="E54" s="16" t="s">
        <v>331</v>
      </c>
      <c r="F54" s="16" t="s">
        <v>332</v>
      </c>
      <c r="G54" s="16" t="s">
        <v>333</v>
      </c>
      <c r="H54" s="16" t="s">
        <v>334</v>
      </c>
      <c r="I54" s="16" t="s">
        <v>1758</v>
      </c>
      <c r="J54" s="16" t="s">
        <v>335</v>
      </c>
      <c r="K54" s="16" t="s">
        <v>336</v>
      </c>
      <c r="L54" s="16" t="s">
        <v>43</v>
      </c>
      <c r="M54" s="16" t="s">
        <v>1539</v>
      </c>
    </row>
    <row r="55" spans="1:16">
      <c r="A55" s="16" t="s">
        <v>337</v>
      </c>
      <c r="C55" s="16" t="s">
        <v>70</v>
      </c>
      <c r="D55" s="16" t="s">
        <v>70</v>
      </c>
      <c r="E55" s="16" t="s">
        <v>71</v>
      </c>
      <c r="F55" s="16" t="s">
        <v>338</v>
      </c>
      <c r="G55" s="16" t="s">
        <v>73</v>
      </c>
      <c r="H55" s="16" t="s">
        <v>339</v>
      </c>
      <c r="I55" s="16" t="s">
        <v>1758</v>
      </c>
      <c r="K55" s="16" t="s">
        <v>340</v>
      </c>
      <c r="L55" s="16" t="s">
        <v>43</v>
      </c>
      <c r="M55" s="16" t="s">
        <v>1539</v>
      </c>
    </row>
    <row r="56" spans="1:16">
      <c r="A56" s="16" t="s">
        <v>341</v>
      </c>
      <c r="C56" s="16" t="s">
        <v>37</v>
      </c>
      <c r="D56" s="16" t="s">
        <v>37</v>
      </c>
      <c r="E56" s="16" t="s">
        <v>38</v>
      </c>
      <c r="F56" s="16" t="s">
        <v>342</v>
      </c>
      <c r="G56" s="16" t="s">
        <v>233</v>
      </c>
      <c r="H56" s="16" t="s">
        <v>343</v>
      </c>
      <c r="I56" s="16" t="s">
        <v>1758</v>
      </c>
      <c r="K56" s="16" t="s">
        <v>344</v>
      </c>
      <c r="L56" s="16" t="s">
        <v>43</v>
      </c>
      <c r="M56" s="16" t="s">
        <v>1540</v>
      </c>
    </row>
    <row r="57" spans="1:16">
      <c r="A57" s="16" t="s">
        <v>345</v>
      </c>
      <c r="C57" s="16" t="s">
        <v>37</v>
      </c>
      <c r="D57" s="16" t="s">
        <v>37</v>
      </c>
      <c r="E57" s="16" t="s">
        <v>38</v>
      </c>
      <c r="F57" s="16" t="s">
        <v>346</v>
      </c>
      <c r="G57" s="16" t="s">
        <v>233</v>
      </c>
      <c r="H57" s="16" t="s">
        <v>347</v>
      </c>
      <c r="I57" s="16" t="s">
        <v>1758</v>
      </c>
      <c r="K57" s="16" t="s">
        <v>348</v>
      </c>
      <c r="L57" s="16" t="s">
        <v>43</v>
      </c>
      <c r="M57" s="16" t="s">
        <v>1540</v>
      </c>
    </row>
    <row r="58" spans="1:16">
      <c r="A58" s="16" t="s">
        <v>349</v>
      </c>
      <c r="C58" s="16" t="s">
        <v>85</v>
      </c>
      <c r="D58" s="16" t="s">
        <v>85</v>
      </c>
      <c r="E58" s="16" t="s">
        <v>86</v>
      </c>
      <c r="F58" s="16" t="s">
        <v>350</v>
      </c>
      <c r="G58" s="16" t="s">
        <v>351</v>
      </c>
      <c r="H58" s="16" t="s">
        <v>352</v>
      </c>
      <c r="I58" s="16" t="s">
        <v>1758</v>
      </c>
      <c r="K58" s="16" t="s">
        <v>353</v>
      </c>
      <c r="L58" s="16" t="s">
        <v>43</v>
      </c>
      <c r="M58" s="16" t="s">
        <v>1539</v>
      </c>
      <c r="P58" s="16" t="s">
        <v>354</v>
      </c>
    </row>
    <row r="59" spans="1:16">
      <c r="A59" s="16" t="s">
        <v>355</v>
      </c>
      <c r="C59" s="16" t="s">
        <v>70</v>
      </c>
      <c r="D59" s="16" t="s">
        <v>70</v>
      </c>
      <c r="E59" s="16" t="s">
        <v>71</v>
      </c>
      <c r="F59" s="16" t="s">
        <v>356</v>
      </c>
      <c r="G59" s="16" t="s">
        <v>357</v>
      </c>
      <c r="H59" s="16" t="s">
        <v>358</v>
      </c>
      <c r="I59" s="16" t="s">
        <v>1759</v>
      </c>
      <c r="J59" s="16" t="s">
        <v>359</v>
      </c>
      <c r="K59" s="16" t="s">
        <v>360</v>
      </c>
      <c r="L59" s="16" t="s">
        <v>43</v>
      </c>
      <c r="M59" s="16" t="s">
        <v>1539</v>
      </c>
      <c r="P59" s="16" t="s">
        <v>361</v>
      </c>
    </row>
    <row r="60" spans="1:16">
      <c r="A60" s="16" t="s">
        <v>362</v>
      </c>
      <c r="C60" s="16" t="s">
        <v>70</v>
      </c>
      <c r="D60" s="16" t="s">
        <v>70</v>
      </c>
      <c r="E60" s="16" t="s">
        <v>71</v>
      </c>
      <c r="F60" s="16" t="s">
        <v>363</v>
      </c>
      <c r="G60" s="16" t="s">
        <v>98</v>
      </c>
      <c r="H60" s="16" t="s">
        <v>364</v>
      </c>
      <c r="I60" s="16" t="s">
        <v>1758</v>
      </c>
      <c r="K60" s="16" t="s">
        <v>134</v>
      </c>
      <c r="L60" s="16" t="s">
        <v>43</v>
      </c>
      <c r="M60" s="16" t="s">
        <v>1539</v>
      </c>
    </row>
    <row r="61" spans="1:16">
      <c r="A61" s="16" t="s">
        <v>365</v>
      </c>
      <c r="C61" s="16" t="s">
        <v>271</v>
      </c>
      <c r="D61" s="16" t="s">
        <v>271</v>
      </c>
      <c r="E61" s="16" t="s">
        <v>272</v>
      </c>
      <c r="F61" s="16" t="s">
        <v>103</v>
      </c>
      <c r="G61" s="16" t="s">
        <v>366</v>
      </c>
      <c r="H61" s="16" t="s">
        <v>367</v>
      </c>
      <c r="I61" s="16" t="s">
        <v>1759</v>
      </c>
      <c r="L61" s="16" t="s">
        <v>43</v>
      </c>
      <c r="M61" s="16" t="s">
        <v>1539</v>
      </c>
    </row>
    <row r="62" spans="1:16">
      <c r="A62" s="16" t="s">
        <v>368</v>
      </c>
      <c r="C62" s="16" t="s">
        <v>85</v>
      </c>
      <c r="D62" s="16" t="s">
        <v>85</v>
      </c>
      <c r="E62" s="16" t="s">
        <v>86</v>
      </c>
      <c r="F62" s="16" t="s">
        <v>103</v>
      </c>
      <c r="G62" s="16" t="s">
        <v>366</v>
      </c>
      <c r="H62" s="16" t="s">
        <v>367</v>
      </c>
      <c r="I62" s="16" t="s">
        <v>1759</v>
      </c>
      <c r="L62" s="16" t="s">
        <v>43</v>
      </c>
      <c r="M62" s="16" t="s">
        <v>1539</v>
      </c>
    </row>
    <row r="63" spans="1:16">
      <c r="A63" s="16" t="s">
        <v>369</v>
      </c>
      <c r="C63" s="16" t="s">
        <v>184</v>
      </c>
      <c r="D63" s="16" t="s">
        <v>370</v>
      </c>
      <c r="E63" s="16" t="s">
        <v>371</v>
      </c>
      <c r="F63" s="16" t="s">
        <v>103</v>
      </c>
      <c r="G63" s="16" t="s">
        <v>366</v>
      </c>
      <c r="H63" s="16" t="s">
        <v>367</v>
      </c>
      <c r="I63" s="16" t="s">
        <v>1759</v>
      </c>
      <c r="L63" s="16" t="s">
        <v>43</v>
      </c>
      <c r="M63" s="16" t="s">
        <v>1539</v>
      </c>
    </row>
    <row r="64" spans="1:16">
      <c r="A64" s="16" t="s">
        <v>372</v>
      </c>
      <c r="C64" s="16" t="s">
        <v>184</v>
      </c>
      <c r="D64" s="16" t="s">
        <v>373</v>
      </c>
      <c r="E64" s="16" t="s">
        <v>374</v>
      </c>
      <c r="F64" s="16" t="s">
        <v>103</v>
      </c>
      <c r="G64" s="16" t="s">
        <v>366</v>
      </c>
      <c r="H64" s="16" t="s">
        <v>367</v>
      </c>
      <c r="I64" s="16" t="s">
        <v>1759</v>
      </c>
      <c r="L64" s="16" t="s">
        <v>43</v>
      </c>
      <c r="M64" s="16" t="s">
        <v>1539</v>
      </c>
    </row>
    <row r="65" spans="1:16">
      <c r="A65" s="16" t="s">
        <v>375</v>
      </c>
      <c r="C65" s="16" t="s">
        <v>62</v>
      </c>
      <c r="D65" s="16" t="s">
        <v>376</v>
      </c>
      <c r="E65" s="16" t="s">
        <v>377</v>
      </c>
      <c r="F65" s="16" t="s">
        <v>103</v>
      </c>
      <c r="G65" s="16" t="s">
        <v>366</v>
      </c>
      <c r="H65" s="16" t="s">
        <v>367</v>
      </c>
      <c r="I65" s="16" t="s">
        <v>1759</v>
      </c>
      <c r="L65" s="16" t="s">
        <v>43</v>
      </c>
      <c r="M65" s="16" t="s">
        <v>1539</v>
      </c>
    </row>
    <row r="66" spans="1:16">
      <c r="A66" s="16" t="s">
        <v>378</v>
      </c>
      <c r="C66" s="16" t="s">
        <v>379</v>
      </c>
      <c r="D66" s="16" t="s">
        <v>380</v>
      </c>
      <c r="E66" s="16" t="s">
        <v>381</v>
      </c>
      <c r="F66" s="16" t="s">
        <v>103</v>
      </c>
      <c r="G66" s="16" t="s">
        <v>366</v>
      </c>
      <c r="H66" s="16" t="s">
        <v>367</v>
      </c>
      <c r="I66" s="16" t="s">
        <v>1759</v>
      </c>
      <c r="L66" s="16" t="s">
        <v>43</v>
      </c>
      <c r="M66" s="16" t="s">
        <v>1539</v>
      </c>
    </row>
    <row r="67" spans="1:16">
      <c r="A67" s="16" t="s">
        <v>382</v>
      </c>
      <c r="C67" s="16" t="s">
        <v>383</v>
      </c>
      <c r="D67" s="16" t="s">
        <v>383</v>
      </c>
      <c r="E67" s="16" t="s">
        <v>384</v>
      </c>
      <c r="F67" s="16" t="s">
        <v>103</v>
      </c>
      <c r="G67" s="16" t="s">
        <v>366</v>
      </c>
      <c r="H67" s="16" t="s">
        <v>367</v>
      </c>
      <c r="I67" s="16" t="s">
        <v>1759</v>
      </c>
      <c r="L67" s="16" t="s">
        <v>43</v>
      </c>
      <c r="M67" s="16" t="s">
        <v>1539</v>
      </c>
    </row>
    <row r="68" spans="1:16">
      <c r="A68" s="16" t="s">
        <v>385</v>
      </c>
      <c r="C68" s="16" t="s">
        <v>77</v>
      </c>
      <c r="D68" s="16" t="s">
        <v>386</v>
      </c>
      <c r="E68" s="16" t="s">
        <v>387</v>
      </c>
      <c r="F68" s="16" t="s">
        <v>103</v>
      </c>
      <c r="G68" s="16" t="s">
        <v>366</v>
      </c>
      <c r="H68" s="16" t="s">
        <v>367</v>
      </c>
      <c r="I68" s="16" t="s">
        <v>1759</v>
      </c>
      <c r="L68" s="16" t="s">
        <v>43</v>
      </c>
      <c r="M68" s="16" t="s">
        <v>1539</v>
      </c>
    </row>
    <row r="69" spans="1:16">
      <c r="A69" s="16" t="s">
        <v>388</v>
      </c>
      <c r="C69" s="16" t="s">
        <v>389</v>
      </c>
      <c r="D69" s="16" t="s">
        <v>390</v>
      </c>
      <c r="E69" s="16" t="s">
        <v>391</v>
      </c>
      <c r="F69" s="16" t="s">
        <v>103</v>
      </c>
      <c r="G69" s="16" t="s">
        <v>366</v>
      </c>
      <c r="H69" s="16" t="s">
        <v>367</v>
      </c>
      <c r="I69" s="16" t="s">
        <v>1759</v>
      </c>
      <c r="L69" s="16" t="s">
        <v>43</v>
      </c>
      <c r="M69" s="16" t="s">
        <v>1539</v>
      </c>
    </row>
    <row r="70" spans="1:16">
      <c r="A70" s="16" t="s">
        <v>392</v>
      </c>
      <c r="C70" s="16" t="s">
        <v>55</v>
      </c>
      <c r="D70" s="16" t="s">
        <v>55</v>
      </c>
      <c r="E70" s="16" t="s">
        <v>56</v>
      </c>
      <c r="F70" s="16" t="s">
        <v>103</v>
      </c>
      <c r="G70" s="16" t="s">
        <v>366</v>
      </c>
      <c r="H70" s="16" t="s">
        <v>367</v>
      </c>
      <c r="I70" s="16" t="s">
        <v>1759</v>
      </c>
      <c r="L70" s="16" t="s">
        <v>43</v>
      </c>
      <c r="M70" s="16" t="s">
        <v>1539</v>
      </c>
    </row>
    <row r="71" spans="1:16">
      <c r="A71" s="16" t="s">
        <v>393</v>
      </c>
      <c r="C71" s="16" t="s">
        <v>37</v>
      </c>
      <c r="D71" s="16" t="s">
        <v>394</v>
      </c>
      <c r="E71" s="16" t="s">
        <v>395</v>
      </c>
      <c r="F71" s="16" t="s">
        <v>103</v>
      </c>
      <c r="G71" s="16" t="s">
        <v>366</v>
      </c>
      <c r="H71" s="16" t="s">
        <v>367</v>
      </c>
      <c r="I71" s="16" t="s">
        <v>1759</v>
      </c>
      <c r="L71" s="16" t="s">
        <v>43</v>
      </c>
      <c r="M71" s="16" t="s">
        <v>1539</v>
      </c>
    </row>
    <row r="72" spans="1:16">
      <c r="A72" s="16" t="s">
        <v>396</v>
      </c>
      <c r="C72" s="16" t="s">
        <v>119</v>
      </c>
      <c r="D72" s="16" t="s">
        <v>397</v>
      </c>
      <c r="E72" s="16" t="s">
        <v>398</v>
      </c>
      <c r="F72" s="16" t="s">
        <v>103</v>
      </c>
      <c r="G72" s="16" t="s">
        <v>366</v>
      </c>
      <c r="H72" s="16" t="s">
        <v>367</v>
      </c>
      <c r="I72" s="16" t="s">
        <v>1759</v>
      </c>
      <c r="L72" s="16" t="s">
        <v>43</v>
      </c>
      <c r="M72" s="16" t="s">
        <v>1539</v>
      </c>
    </row>
    <row r="73" spans="1:16">
      <c r="A73" s="16" t="s">
        <v>399</v>
      </c>
      <c r="C73" s="16" t="s">
        <v>400</v>
      </c>
      <c r="D73" s="16" t="s">
        <v>400</v>
      </c>
      <c r="E73" s="16" t="s">
        <v>401</v>
      </c>
      <c r="F73" s="16" t="s">
        <v>103</v>
      </c>
      <c r="G73" s="16" t="s">
        <v>366</v>
      </c>
      <c r="H73" s="16" t="s">
        <v>367</v>
      </c>
      <c r="I73" s="16" t="s">
        <v>1759</v>
      </c>
      <c r="L73" s="16" t="s">
        <v>43</v>
      </c>
      <c r="M73" s="16" t="s">
        <v>1539</v>
      </c>
    </row>
    <row r="74" spans="1:16">
      <c r="A74" s="16" t="s">
        <v>402</v>
      </c>
      <c r="C74" s="16" t="s">
        <v>55</v>
      </c>
      <c r="D74" s="16" t="s">
        <v>403</v>
      </c>
      <c r="E74" s="16" t="s">
        <v>404</v>
      </c>
      <c r="F74" s="16" t="s">
        <v>103</v>
      </c>
      <c r="G74" s="16" t="s">
        <v>366</v>
      </c>
      <c r="H74" s="16" t="s">
        <v>367</v>
      </c>
      <c r="I74" s="16" t="s">
        <v>1759</v>
      </c>
      <c r="L74" s="16" t="s">
        <v>43</v>
      </c>
      <c r="M74" s="16" t="s">
        <v>1539</v>
      </c>
    </row>
    <row r="75" spans="1:16">
      <c r="A75" s="16" t="s">
        <v>405</v>
      </c>
      <c r="C75" s="16" t="s">
        <v>95</v>
      </c>
      <c r="D75" s="16" t="s">
        <v>95</v>
      </c>
      <c r="E75" s="16" t="s">
        <v>96</v>
      </c>
      <c r="F75" s="16" t="s">
        <v>103</v>
      </c>
      <c r="G75" s="16" t="s">
        <v>366</v>
      </c>
      <c r="H75" s="16" t="s">
        <v>367</v>
      </c>
      <c r="I75" s="16" t="s">
        <v>1759</v>
      </c>
      <c r="L75" s="16" t="s">
        <v>43</v>
      </c>
      <c r="M75" s="16" t="s">
        <v>1539</v>
      </c>
    </row>
    <row r="76" spans="1:16">
      <c r="A76" s="16" t="s">
        <v>406</v>
      </c>
      <c r="C76" s="16" t="s">
        <v>85</v>
      </c>
      <c r="D76" s="16" t="s">
        <v>85</v>
      </c>
      <c r="E76" s="16" t="s">
        <v>86</v>
      </c>
      <c r="F76" s="16" t="s">
        <v>407</v>
      </c>
      <c r="G76" s="16" t="s">
        <v>88</v>
      </c>
      <c r="H76" s="16" t="s">
        <v>408</v>
      </c>
      <c r="I76" s="16" t="s">
        <v>1758</v>
      </c>
      <c r="K76" s="16" t="s">
        <v>409</v>
      </c>
      <c r="L76" s="16" t="s">
        <v>43</v>
      </c>
      <c r="M76" s="16" t="s">
        <v>1539</v>
      </c>
    </row>
    <row r="77" spans="1:16">
      <c r="A77" s="16" t="s">
        <v>410</v>
      </c>
      <c r="C77" s="16" t="s">
        <v>62</v>
      </c>
      <c r="D77" s="16" t="s">
        <v>376</v>
      </c>
      <c r="E77" s="16" t="s">
        <v>377</v>
      </c>
      <c r="F77" s="16" t="s">
        <v>411</v>
      </c>
      <c r="G77" s="16" t="s">
        <v>66</v>
      </c>
      <c r="H77" s="16" t="s">
        <v>412</v>
      </c>
      <c r="I77" s="16" t="s">
        <v>1758</v>
      </c>
      <c r="K77" s="16" t="s">
        <v>413</v>
      </c>
      <c r="L77" s="16" t="s">
        <v>110</v>
      </c>
      <c r="M77" s="16" t="s">
        <v>1539</v>
      </c>
    </row>
    <row r="78" spans="1:16">
      <c r="A78" s="16" t="s">
        <v>414</v>
      </c>
      <c r="C78" s="16" t="s">
        <v>46</v>
      </c>
      <c r="D78" s="16" t="s">
        <v>126</v>
      </c>
      <c r="E78" s="16" t="s">
        <v>127</v>
      </c>
      <c r="F78" s="16" t="s">
        <v>415</v>
      </c>
      <c r="G78" s="16" t="s">
        <v>193</v>
      </c>
      <c r="H78" s="16" t="s">
        <v>416</v>
      </c>
      <c r="I78" s="16" t="s">
        <v>1758</v>
      </c>
      <c r="K78" s="16" t="s">
        <v>417</v>
      </c>
      <c r="L78" s="16" t="s">
        <v>204</v>
      </c>
      <c r="M78" s="16" t="s">
        <v>1539</v>
      </c>
      <c r="N78" s="16" t="s">
        <v>1738</v>
      </c>
    </row>
    <row r="79" spans="1:16">
      <c r="A79" s="16" t="s">
        <v>418</v>
      </c>
      <c r="C79" s="16" t="s">
        <v>111</v>
      </c>
      <c r="D79" s="16" t="s">
        <v>111</v>
      </c>
      <c r="E79" s="16" t="s">
        <v>112</v>
      </c>
      <c r="F79" s="16" t="s">
        <v>419</v>
      </c>
      <c r="G79" s="16" t="s">
        <v>58</v>
      </c>
      <c r="H79" s="16" t="s">
        <v>420</v>
      </c>
      <c r="I79" s="16" t="s">
        <v>1758</v>
      </c>
      <c r="K79" s="16" t="s">
        <v>421</v>
      </c>
      <c r="L79" s="16" t="s">
        <v>43</v>
      </c>
      <c r="M79" s="16" t="s">
        <v>1539</v>
      </c>
      <c r="P79" s="16" t="s">
        <v>422</v>
      </c>
    </row>
    <row r="80" spans="1:16">
      <c r="A80" s="16" t="s">
        <v>423</v>
      </c>
      <c r="C80" s="16" t="s">
        <v>95</v>
      </c>
      <c r="D80" s="16" t="s">
        <v>95</v>
      </c>
      <c r="E80" s="16" t="s">
        <v>96</v>
      </c>
      <c r="F80" s="16" t="s">
        <v>424</v>
      </c>
      <c r="G80" s="16" t="s">
        <v>425</v>
      </c>
      <c r="H80" s="16" t="s">
        <v>426</v>
      </c>
      <c r="I80" s="16" t="s">
        <v>1758</v>
      </c>
      <c r="K80" s="16" t="s">
        <v>427</v>
      </c>
      <c r="L80" s="16" t="s">
        <v>43</v>
      </c>
      <c r="M80" s="16" t="s">
        <v>1539</v>
      </c>
    </row>
    <row r="81" spans="1:16">
      <c r="A81" s="16" t="s">
        <v>428</v>
      </c>
      <c r="C81" s="16" t="s">
        <v>136</v>
      </c>
      <c r="D81" s="16" t="s">
        <v>136</v>
      </c>
      <c r="E81" s="16" t="s">
        <v>137</v>
      </c>
      <c r="F81" s="16" t="s">
        <v>429</v>
      </c>
      <c r="G81" s="16" t="s">
        <v>139</v>
      </c>
      <c r="H81" s="16" t="s">
        <v>430</v>
      </c>
      <c r="I81" s="16" t="s">
        <v>1758</v>
      </c>
      <c r="K81" s="16" t="s">
        <v>431</v>
      </c>
      <c r="L81" s="16" t="s">
        <v>43</v>
      </c>
      <c r="M81" s="16" t="s">
        <v>1539</v>
      </c>
      <c r="P81" s="16" t="s">
        <v>432</v>
      </c>
    </row>
    <row r="82" spans="1:16">
      <c r="A82" s="16" t="s">
        <v>433</v>
      </c>
      <c r="C82" s="16" t="s">
        <v>70</v>
      </c>
      <c r="D82" s="16" t="s">
        <v>70</v>
      </c>
      <c r="E82" s="16" t="s">
        <v>71</v>
      </c>
      <c r="F82" s="16" t="s">
        <v>434</v>
      </c>
      <c r="G82" s="16" t="s">
        <v>435</v>
      </c>
      <c r="H82" s="16" t="s">
        <v>436</v>
      </c>
      <c r="I82" s="16" t="s">
        <v>1758</v>
      </c>
      <c r="J82" s="16" t="s">
        <v>437</v>
      </c>
      <c r="K82" s="16" t="s">
        <v>134</v>
      </c>
      <c r="L82" s="16" t="s">
        <v>43</v>
      </c>
      <c r="M82" s="16" t="s">
        <v>1539</v>
      </c>
    </row>
  </sheetData>
  <sheetProtection formatColumns="0" formatRows="0"/>
  <phoneticPr fontId="0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REESTR_ORG">
    <tabColor indexed="47"/>
  </sheetPr>
  <dimension ref="A1:DG209"/>
  <sheetViews>
    <sheetView workbookViewId="0"/>
  </sheetViews>
  <sheetFormatPr defaultRowHeight="11.25"/>
  <cols>
    <col min="1" max="16384" width="9.140625" style="16"/>
  </cols>
  <sheetData>
    <row r="1" spans="1:111">
      <c r="A1" s="16" t="s">
        <v>1647</v>
      </c>
      <c r="B1" s="16" t="s">
        <v>1329</v>
      </c>
      <c r="C1" s="16" t="s">
        <v>627</v>
      </c>
      <c r="D1" s="16" t="s">
        <v>1330</v>
      </c>
      <c r="E1" s="16" t="s">
        <v>628</v>
      </c>
      <c r="F1" s="16" t="s">
        <v>1547</v>
      </c>
      <c r="G1" s="16" t="s">
        <v>1748</v>
      </c>
      <c r="H1" s="16" t="s">
        <v>1331</v>
      </c>
      <c r="I1" s="16" t="s">
        <v>1549</v>
      </c>
      <c r="J1" s="16" t="s">
        <v>1606</v>
      </c>
      <c r="K1" s="16" t="s">
        <v>1550</v>
      </c>
      <c r="U1" s="16" t="s">
        <v>1647</v>
      </c>
      <c r="V1" s="16" t="s">
        <v>1329</v>
      </c>
      <c r="W1" s="16" t="s">
        <v>627</v>
      </c>
      <c r="X1" s="16" t="s">
        <v>1330</v>
      </c>
      <c r="Y1" s="16" t="s">
        <v>628</v>
      </c>
      <c r="Z1" s="16" t="s">
        <v>1547</v>
      </c>
      <c r="AA1" s="16" t="s">
        <v>1748</v>
      </c>
      <c r="AB1" s="16" t="s">
        <v>1331</v>
      </c>
      <c r="AC1" s="16" t="s">
        <v>1549</v>
      </c>
      <c r="AD1" s="16" t="s">
        <v>1606</v>
      </c>
      <c r="AE1" s="16" t="s">
        <v>1550</v>
      </c>
      <c r="AO1" s="16" t="s">
        <v>1647</v>
      </c>
      <c r="AP1" s="16" t="s">
        <v>1329</v>
      </c>
      <c r="AQ1" s="16" t="s">
        <v>627</v>
      </c>
      <c r="AR1" s="16" t="s">
        <v>1330</v>
      </c>
      <c r="AS1" s="16" t="s">
        <v>628</v>
      </c>
      <c r="AT1" s="16" t="s">
        <v>1547</v>
      </c>
      <c r="AU1" s="16" t="s">
        <v>1748</v>
      </c>
      <c r="AV1" s="16" t="s">
        <v>1331</v>
      </c>
      <c r="AW1" s="16" t="s">
        <v>1549</v>
      </c>
      <c r="AX1" s="16" t="s">
        <v>1606</v>
      </c>
      <c r="AY1" s="16" t="s">
        <v>1550</v>
      </c>
      <c r="BI1" s="16" t="s">
        <v>1647</v>
      </c>
      <c r="BJ1" s="16" t="s">
        <v>1329</v>
      </c>
      <c r="BK1" s="16" t="s">
        <v>627</v>
      </c>
      <c r="BL1" s="16" t="s">
        <v>1330</v>
      </c>
      <c r="BM1" s="16" t="s">
        <v>628</v>
      </c>
      <c r="BN1" s="16" t="s">
        <v>1547</v>
      </c>
      <c r="BO1" s="16" t="s">
        <v>1748</v>
      </c>
      <c r="BP1" s="16" t="s">
        <v>1331</v>
      </c>
      <c r="BQ1" s="16" t="s">
        <v>1549</v>
      </c>
      <c r="BR1" s="16" t="s">
        <v>1606</v>
      </c>
      <c r="BS1" s="16" t="s">
        <v>1550</v>
      </c>
      <c r="CC1" s="16" t="s">
        <v>1647</v>
      </c>
      <c r="CD1" s="16" t="s">
        <v>1329</v>
      </c>
      <c r="CE1" s="16" t="s">
        <v>627</v>
      </c>
      <c r="CF1" s="16" t="s">
        <v>1330</v>
      </c>
      <c r="CG1" s="16" t="s">
        <v>628</v>
      </c>
      <c r="CH1" s="16" t="s">
        <v>1547</v>
      </c>
      <c r="CI1" s="16" t="s">
        <v>1748</v>
      </c>
      <c r="CJ1" s="16" t="s">
        <v>1331</v>
      </c>
      <c r="CK1" s="16" t="s">
        <v>1549</v>
      </c>
      <c r="CL1" s="16" t="s">
        <v>1606</v>
      </c>
      <c r="CM1" s="16" t="s">
        <v>1550</v>
      </c>
      <c r="CW1" s="16" t="s">
        <v>1647</v>
      </c>
      <c r="CX1" s="16" t="s">
        <v>1329</v>
      </c>
      <c r="CY1" s="16" t="s">
        <v>627</v>
      </c>
      <c r="CZ1" s="16" t="s">
        <v>1330</v>
      </c>
      <c r="DA1" s="16" t="s">
        <v>628</v>
      </c>
      <c r="DB1" s="16" t="s">
        <v>1547</v>
      </c>
      <c r="DC1" s="16" t="s">
        <v>1748</v>
      </c>
      <c r="DD1" s="16" t="s">
        <v>1331</v>
      </c>
      <c r="DE1" s="16" t="s">
        <v>1549</v>
      </c>
      <c r="DF1" s="16" t="s">
        <v>1606</v>
      </c>
      <c r="DG1" s="16" t="s">
        <v>1550</v>
      </c>
    </row>
    <row r="2" spans="1:111">
      <c r="BI2" s="16">
        <v>1</v>
      </c>
      <c r="BJ2" s="16" t="s">
        <v>1588</v>
      </c>
      <c r="BK2" s="16" t="s">
        <v>37</v>
      </c>
      <c r="BL2" s="16" t="s">
        <v>38</v>
      </c>
      <c r="BM2" s="16" t="s">
        <v>37</v>
      </c>
      <c r="BN2" s="16" t="s">
        <v>38</v>
      </c>
      <c r="BO2" s="16" t="s">
        <v>1246</v>
      </c>
      <c r="BP2" s="16" t="s">
        <v>343</v>
      </c>
      <c r="BQ2" s="16" t="s">
        <v>342</v>
      </c>
      <c r="BR2" s="16" t="s">
        <v>233</v>
      </c>
      <c r="BS2" s="16" t="s">
        <v>43</v>
      </c>
    </row>
    <row r="3" spans="1:111">
      <c r="BI3" s="16">
        <v>2</v>
      </c>
      <c r="BJ3" s="16" t="s">
        <v>1588</v>
      </c>
      <c r="BK3" s="16" t="s">
        <v>37</v>
      </c>
      <c r="BL3" s="16" t="s">
        <v>38</v>
      </c>
      <c r="BM3" s="16" t="s">
        <v>394</v>
      </c>
      <c r="BN3" s="16" t="s">
        <v>395</v>
      </c>
      <c r="BO3" s="16" t="s">
        <v>1247</v>
      </c>
      <c r="BP3" s="16" t="s">
        <v>1248</v>
      </c>
      <c r="BQ3" s="16" t="s">
        <v>1249</v>
      </c>
      <c r="BR3" s="16" t="s">
        <v>233</v>
      </c>
      <c r="BS3" s="16" t="s">
        <v>43</v>
      </c>
    </row>
    <row r="4" spans="1:111">
      <c r="BI4" s="16">
        <v>3</v>
      </c>
      <c r="BJ4" s="16" t="s">
        <v>1588</v>
      </c>
      <c r="BK4" s="16" t="s">
        <v>37</v>
      </c>
      <c r="BL4" s="16" t="s">
        <v>38</v>
      </c>
      <c r="BM4" s="16" t="s">
        <v>394</v>
      </c>
      <c r="BN4" s="16" t="s">
        <v>395</v>
      </c>
      <c r="BO4" s="16" t="s">
        <v>1250</v>
      </c>
      <c r="BP4" s="16" t="s">
        <v>41</v>
      </c>
      <c r="BQ4" s="16" t="s">
        <v>39</v>
      </c>
      <c r="BR4" s="16" t="s">
        <v>40</v>
      </c>
      <c r="BS4" s="16" t="s">
        <v>43</v>
      </c>
    </row>
    <row r="5" spans="1:111">
      <c r="BI5" s="16">
        <v>4</v>
      </c>
      <c r="BJ5" s="16" t="s">
        <v>1588</v>
      </c>
      <c r="BK5" s="16" t="s">
        <v>37</v>
      </c>
      <c r="BL5" s="16" t="s">
        <v>38</v>
      </c>
      <c r="BM5" s="16" t="s">
        <v>394</v>
      </c>
      <c r="BN5" s="16" t="s">
        <v>395</v>
      </c>
      <c r="BO5" s="16" t="s">
        <v>1251</v>
      </c>
      <c r="BP5" s="16" t="s">
        <v>234</v>
      </c>
      <c r="BQ5" s="16" t="s">
        <v>232</v>
      </c>
      <c r="BR5" s="16" t="s">
        <v>233</v>
      </c>
      <c r="BS5" s="16" t="s">
        <v>43</v>
      </c>
    </row>
    <row r="6" spans="1:111">
      <c r="BI6" s="16">
        <v>5</v>
      </c>
      <c r="BJ6" s="16" t="s">
        <v>1588</v>
      </c>
      <c r="BK6" s="16" t="s">
        <v>37</v>
      </c>
      <c r="BL6" s="16" t="s">
        <v>38</v>
      </c>
      <c r="BM6" s="16" t="s">
        <v>394</v>
      </c>
      <c r="BN6" s="16" t="s">
        <v>395</v>
      </c>
      <c r="BO6" s="16" t="s">
        <v>1252</v>
      </c>
      <c r="BP6" s="16" t="s">
        <v>367</v>
      </c>
      <c r="BQ6" s="16" t="s">
        <v>103</v>
      </c>
      <c r="BR6" s="16" t="s">
        <v>366</v>
      </c>
      <c r="BS6" s="16" t="s">
        <v>43</v>
      </c>
    </row>
    <row r="7" spans="1:111">
      <c r="BI7" s="16">
        <v>6</v>
      </c>
      <c r="BJ7" s="16" t="s">
        <v>1588</v>
      </c>
      <c r="BK7" s="16" t="s">
        <v>37</v>
      </c>
      <c r="BL7" s="16" t="s">
        <v>38</v>
      </c>
      <c r="BM7" s="16" t="s">
        <v>394</v>
      </c>
      <c r="BN7" s="16" t="s">
        <v>395</v>
      </c>
      <c r="BO7" s="16" t="s">
        <v>1246</v>
      </c>
      <c r="BP7" s="16" t="s">
        <v>343</v>
      </c>
      <c r="BQ7" s="16" t="s">
        <v>342</v>
      </c>
      <c r="BR7" s="16" t="s">
        <v>233</v>
      </c>
      <c r="BS7" s="16" t="s">
        <v>43</v>
      </c>
    </row>
    <row r="8" spans="1:111">
      <c r="BI8" s="16">
        <v>7</v>
      </c>
      <c r="BJ8" s="16" t="s">
        <v>1588</v>
      </c>
      <c r="BK8" s="16" t="s">
        <v>37</v>
      </c>
      <c r="BL8" s="16" t="s">
        <v>38</v>
      </c>
      <c r="BM8" s="16" t="s">
        <v>394</v>
      </c>
      <c r="BN8" s="16" t="s">
        <v>395</v>
      </c>
      <c r="BO8" s="16" t="s">
        <v>1253</v>
      </c>
      <c r="BP8" s="16" t="s">
        <v>347</v>
      </c>
      <c r="BQ8" s="16" t="s">
        <v>346</v>
      </c>
      <c r="BR8" s="16" t="s">
        <v>233</v>
      </c>
      <c r="BS8" s="16" t="s">
        <v>43</v>
      </c>
    </row>
    <row r="9" spans="1:111">
      <c r="BI9" s="16">
        <v>8</v>
      </c>
      <c r="BJ9" s="16" t="s">
        <v>1588</v>
      </c>
      <c r="BK9" s="16" t="s">
        <v>37</v>
      </c>
      <c r="BL9" s="16" t="s">
        <v>38</v>
      </c>
      <c r="BM9" s="16" t="s">
        <v>641</v>
      </c>
      <c r="BN9" s="16" t="s">
        <v>642</v>
      </c>
      <c r="BO9" s="16" t="s">
        <v>1246</v>
      </c>
      <c r="BP9" s="16" t="s">
        <v>343</v>
      </c>
      <c r="BQ9" s="16" t="s">
        <v>342</v>
      </c>
      <c r="BR9" s="16" t="s">
        <v>233</v>
      </c>
      <c r="BS9" s="16" t="s">
        <v>43</v>
      </c>
    </row>
    <row r="10" spans="1:111">
      <c r="BI10" s="16">
        <v>9</v>
      </c>
      <c r="BJ10" s="16" t="s">
        <v>1588</v>
      </c>
      <c r="BK10" s="16" t="s">
        <v>37</v>
      </c>
      <c r="BL10" s="16" t="s">
        <v>38</v>
      </c>
      <c r="BM10" s="16" t="s">
        <v>643</v>
      </c>
      <c r="BN10" s="16" t="s">
        <v>644</v>
      </c>
      <c r="BO10" s="16" t="s">
        <v>1246</v>
      </c>
      <c r="BP10" s="16" t="s">
        <v>343</v>
      </c>
      <c r="BQ10" s="16" t="s">
        <v>342</v>
      </c>
      <c r="BR10" s="16" t="s">
        <v>233</v>
      </c>
      <c r="BS10" s="16" t="s">
        <v>43</v>
      </c>
    </row>
    <row r="11" spans="1:111">
      <c r="BI11" s="16">
        <v>10</v>
      </c>
      <c r="BJ11" s="16" t="s">
        <v>1588</v>
      </c>
      <c r="BK11" s="16" t="s">
        <v>37</v>
      </c>
      <c r="BL11" s="16" t="s">
        <v>38</v>
      </c>
      <c r="BM11" s="16" t="s">
        <v>645</v>
      </c>
      <c r="BN11" s="16" t="s">
        <v>646</v>
      </c>
      <c r="BO11" s="16" t="s">
        <v>1246</v>
      </c>
      <c r="BP11" s="16" t="s">
        <v>343</v>
      </c>
      <c r="BQ11" s="16" t="s">
        <v>342</v>
      </c>
      <c r="BR11" s="16" t="s">
        <v>233</v>
      </c>
      <c r="BS11" s="16" t="s">
        <v>43</v>
      </c>
    </row>
    <row r="12" spans="1:111">
      <c r="BI12" s="16">
        <v>11</v>
      </c>
      <c r="BJ12" s="16" t="s">
        <v>1588</v>
      </c>
      <c r="BK12" s="16" t="s">
        <v>37</v>
      </c>
      <c r="BL12" s="16" t="s">
        <v>38</v>
      </c>
      <c r="BM12" s="16" t="s">
        <v>647</v>
      </c>
      <c r="BN12" s="16" t="s">
        <v>648</v>
      </c>
      <c r="BO12" s="16" t="s">
        <v>1246</v>
      </c>
      <c r="BP12" s="16" t="s">
        <v>343</v>
      </c>
      <c r="BQ12" s="16" t="s">
        <v>342</v>
      </c>
      <c r="BR12" s="16" t="s">
        <v>233</v>
      </c>
      <c r="BS12" s="16" t="s">
        <v>43</v>
      </c>
    </row>
    <row r="13" spans="1:111">
      <c r="BI13" s="16">
        <v>12</v>
      </c>
      <c r="BJ13" s="16" t="s">
        <v>1588</v>
      </c>
      <c r="BK13" s="16" t="s">
        <v>37</v>
      </c>
      <c r="BL13" s="16" t="s">
        <v>38</v>
      </c>
      <c r="BM13" s="16" t="s">
        <v>649</v>
      </c>
      <c r="BN13" s="16" t="s">
        <v>650</v>
      </c>
      <c r="BO13" s="16" t="s">
        <v>1246</v>
      </c>
      <c r="BP13" s="16" t="s">
        <v>343</v>
      </c>
      <c r="BQ13" s="16" t="s">
        <v>342</v>
      </c>
      <c r="BR13" s="16" t="s">
        <v>233</v>
      </c>
      <c r="BS13" s="16" t="s">
        <v>43</v>
      </c>
    </row>
    <row r="14" spans="1:111">
      <c r="BI14" s="16">
        <v>13</v>
      </c>
      <c r="BJ14" s="16" t="s">
        <v>1588</v>
      </c>
      <c r="BK14" s="16" t="s">
        <v>37</v>
      </c>
      <c r="BL14" s="16" t="s">
        <v>38</v>
      </c>
      <c r="BM14" s="16" t="s">
        <v>651</v>
      </c>
      <c r="BN14" s="16" t="s">
        <v>652</v>
      </c>
      <c r="BO14" s="16" t="s">
        <v>1246</v>
      </c>
      <c r="BP14" s="16" t="s">
        <v>343</v>
      </c>
      <c r="BQ14" s="16" t="s">
        <v>342</v>
      </c>
      <c r="BR14" s="16" t="s">
        <v>233</v>
      </c>
      <c r="BS14" s="16" t="s">
        <v>43</v>
      </c>
    </row>
    <row r="15" spans="1:111">
      <c r="BI15" s="16">
        <v>14</v>
      </c>
      <c r="BJ15" s="16" t="s">
        <v>1588</v>
      </c>
      <c r="BK15" s="16" t="s">
        <v>37</v>
      </c>
      <c r="BL15" s="16" t="s">
        <v>38</v>
      </c>
      <c r="BM15" s="16" t="s">
        <v>653</v>
      </c>
      <c r="BN15" s="16" t="s">
        <v>654</v>
      </c>
      <c r="BO15" s="16" t="s">
        <v>1246</v>
      </c>
      <c r="BP15" s="16" t="s">
        <v>343</v>
      </c>
      <c r="BQ15" s="16" t="s">
        <v>342</v>
      </c>
      <c r="BR15" s="16" t="s">
        <v>233</v>
      </c>
      <c r="BS15" s="16" t="s">
        <v>43</v>
      </c>
    </row>
    <row r="16" spans="1:111">
      <c r="BI16" s="16">
        <v>15</v>
      </c>
      <c r="BJ16" s="16" t="s">
        <v>1588</v>
      </c>
      <c r="BK16" s="16" t="s">
        <v>329</v>
      </c>
      <c r="BL16" s="16" t="s">
        <v>655</v>
      </c>
      <c r="BM16" s="16" t="s">
        <v>656</v>
      </c>
      <c r="BN16" s="16" t="s">
        <v>657</v>
      </c>
      <c r="BO16" s="16" t="s">
        <v>1250</v>
      </c>
      <c r="BP16" s="16" t="s">
        <v>41</v>
      </c>
      <c r="BQ16" s="16" t="s">
        <v>39</v>
      </c>
      <c r="BR16" s="16" t="s">
        <v>40</v>
      </c>
      <c r="BS16" s="16" t="s">
        <v>43</v>
      </c>
    </row>
    <row r="17" spans="61:71">
      <c r="BI17" s="16">
        <v>16</v>
      </c>
      <c r="BJ17" s="16" t="s">
        <v>1588</v>
      </c>
      <c r="BK17" s="16" t="s">
        <v>329</v>
      </c>
      <c r="BL17" s="16" t="s">
        <v>655</v>
      </c>
      <c r="BM17" s="16" t="s">
        <v>662</v>
      </c>
      <c r="BN17" s="16" t="s">
        <v>663</v>
      </c>
      <c r="BO17" s="16" t="s">
        <v>1250</v>
      </c>
      <c r="BP17" s="16" t="s">
        <v>41</v>
      </c>
      <c r="BQ17" s="16" t="s">
        <v>39</v>
      </c>
      <c r="BR17" s="16" t="s">
        <v>40</v>
      </c>
      <c r="BS17" s="16" t="s">
        <v>43</v>
      </c>
    </row>
    <row r="18" spans="61:71">
      <c r="BI18" s="16">
        <v>17</v>
      </c>
      <c r="BJ18" s="16" t="s">
        <v>1588</v>
      </c>
      <c r="BK18" s="16" t="s">
        <v>329</v>
      </c>
      <c r="BL18" s="16" t="s">
        <v>655</v>
      </c>
      <c r="BM18" s="16" t="s">
        <v>662</v>
      </c>
      <c r="BN18" s="16" t="s">
        <v>663</v>
      </c>
      <c r="BO18" s="16" t="s">
        <v>1254</v>
      </c>
      <c r="BP18" s="16" t="s">
        <v>105</v>
      </c>
      <c r="BQ18" s="16" t="s">
        <v>103</v>
      </c>
      <c r="BR18" s="16" t="s">
        <v>104</v>
      </c>
      <c r="BS18" s="16" t="s">
        <v>43</v>
      </c>
    </row>
    <row r="19" spans="61:71">
      <c r="BI19" s="16">
        <v>18</v>
      </c>
      <c r="BJ19" s="16" t="s">
        <v>1588</v>
      </c>
      <c r="BK19" s="16" t="s">
        <v>329</v>
      </c>
      <c r="BL19" s="16" t="s">
        <v>655</v>
      </c>
      <c r="BM19" s="16" t="s">
        <v>668</v>
      </c>
      <c r="BN19" s="16" t="s">
        <v>669</v>
      </c>
      <c r="BO19" s="16" t="s">
        <v>1250</v>
      </c>
      <c r="BP19" s="16" t="s">
        <v>41</v>
      </c>
      <c r="BQ19" s="16" t="s">
        <v>39</v>
      </c>
      <c r="BR19" s="16" t="s">
        <v>40</v>
      </c>
      <c r="BS19" s="16" t="s">
        <v>43</v>
      </c>
    </row>
    <row r="20" spans="61:71">
      <c r="BI20" s="16">
        <v>19</v>
      </c>
      <c r="BJ20" s="16" t="s">
        <v>1588</v>
      </c>
      <c r="BK20" s="16" t="s">
        <v>329</v>
      </c>
      <c r="BL20" s="16" t="s">
        <v>655</v>
      </c>
      <c r="BM20" s="16" t="s">
        <v>330</v>
      </c>
      <c r="BN20" s="16" t="s">
        <v>331</v>
      </c>
      <c r="BO20" s="16" t="s">
        <v>1250</v>
      </c>
      <c r="BP20" s="16" t="s">
        <v>41</v>
      </c>
      <c r="BQ20" s="16" t="s">
        <v>39</v>
      </c>
      <c r="BR20" s="16" t="s">
        <v>40</v>
      </c>
      <c r="BS20" s="16" t="s">
        <v>43</v>
      </c>
    </row>
    <row r="21" spans="61:71">
      <c r="BI21" s="16">
        <v>20</v>
      </c>
      <c r="BJ21" s="16" t="s">
        <v>1588</v>
      </c>
      <c r="BK21" s="16" t="s">
        <v>329</v>
      </c>
      <c r="BL21" s="16" t="s">
        <v>655</v>
      </c>
      <c r="BM21" s="16" t="s">
        <v>330</v>
      </c>
      <c r="BN21" s="16" t="s">
        <v>331</v>
      </c>
      <c r="BO21" s="16" t="s">
        <v>1255</v>
      </c>
      <c r="BP21" s="16" t="s">
        <v>334</v>
      </c>
      <c r="BQ21" s="16" t="s">
        <v>332</v>
      </c>
      <c r="BR21" s="16" t="s">
        <v>333</v>
      </c>
      <c r="BS21" s="16" t="s">
        <v>43</v>
      </c>
    </row>
    <row r="22" spans="61:71">
      <c r="BI22" s="16">
        <v>21</v>
      </c>
      <c r="BJ22" s="16" t="s">
        <v>1588</v>
      </c>
      <c r="BK22" s="16" t="s">
        <v>177</v>
      </c>
      <c r="BL22" s="16" t="s">
        <v>178</v>
      </c>
      <c r="BM22" s="16" t="s">
        <v>688</v>
      </c>
      <c r="BN22" s="16" t="s">
        <v>689</v>
      </c>
      <c r="BO22" s="16" t="s">
        <v>1256</v>
      </c>
      <c r="BP22" s="16" t="s">
        <v>181</v>
      </c>
      <c r="BQ22" s="16" t="s">
        <v>179</v>
      </c>
      <c r="BR22" s="16" t="s">
        <v>180</v>
      </c>
      <c r="BS22" s="16" t="s">
        <v>43</v>
      </c>
    </row>
    <row r="23" spans="61:71">
      <c r="BI23" s="16">
        <v>22</v>
      </c>
      <c r="BJ23" s="16" t="s">
        <v>1588</v>
      </c>
      <c r="BK23" s="16" t="s">
        <v>177</v>
      </c>
      <c r="BL23" s="16" t="s">
        <v>178</v>
      </c>
      <c r="BM23" s="16" t="s">
        <v>688</v>
      </c>
      <c r="BN23" s="16" t="s">
        <v>689</v>
      </c>
      <c r="BO23" s="16" t="s">
        <v>1257</v>
      </c>
      <c r="BP23" s="16" t="s">
        <v>358</v>
      </c>
      <c r="BQ23" s="16" t="s">
        <v>356</v>
      </c>
      <c r="BR23" s="16" t="s">
        <v>357</v>
      </c>
      <c r="BS23" s="16" t="s">
        <v>43</v>
      </c>
    </row>
    <row r="24" spans="61:71">
      <c r="BI24" s="16">
        <v>23</v>
      </c>
      <c r="BJ24" s="16" t="s">
        <v>1588</v>
      </c>
      <c r="BK24" s="16" t="s">
        <v>119</v>
      </c>
      <c r="BL24" s="16" t="s">
        <v>120</v>
      </c>
      <c r="BM24" s="16" t="s">
        <v>397</v>
      </c>
      <c r="BN24" s="16" t="s">
        <v>398</v>
      </c>
      <c r="BO24" s="16" t="s">
        <v>1258</v>
      </c>
      <c r="BP24" s="16" t="s">
        <v>123</v>
      </c>
      <c r="BQ24" s="16" t="s">
        <v>121</v>
      </c>
      <c r="BR24" s="16" t="s">
        <v>122</v>
      </c>
      <c r="BS24" s="16" t="s">
        <v>43</v>
      </c>
    </row>
    <row r="25" spans="61:71">
      <c r="BI25" s="16">
        <v>24</v>
      </c>
      <c r="BJ25" s="16" t="s">
        <v>1588</v>
      </c>
      <c r="BK25" s="16" t="s">
        <v>119</v>
      </c>
      <c r="BL25" s="16" t="s">
        <v>120</v>
      </c>
      <c r="BM25" s="16" t="s">
        <v>397</v>
      </c>
      <c r="BN25" s="16" t="s">
        <v>398</v>
      </c>
      <c r="BO25" s="16" t="s">
        <v>1252</v>
      </c>
      <c r="BP25" s="16" t="s">
        <v>367</v>
      </c>
      <c r="BQ25" s="16" t="s">
        <v>103</v>
      </c>
      <c r="BR25" s="16" t="s">
        <v>366</v>
      </c>
      <c r="BS25" s="16" t="s">
        <v>43</v>
      </c>
    </row>
    <row r="26" spans="61:71">
      <c r="BI26" s="16">
        <v>25</v>
      </c>
      <c r="BJ26" s="16" t="s">
        <v>1588</v>
      </c>
      <c r="BK26" s="16" t="s">
        <v>389</v>
      </c>
      <c r="BL26" s="16" t="s">
        <v>712</v>
      </c>
      <c r="BM26" s="16" t="s">
        <v>390</v>
      </c>
      <c r="BN26" s="16" t="s">
        <v>391</v>
      </c>
      <c r="BO26" s="16" t="s">
        <v>1250</v>
      </c>
      <c r="BP26" s="16" t="s">
        <v>41</v>
      </c>
      <c r="BQ26" s="16" t="s">
        <v>39</v>
      </c>
      <c r="BR26" s="16" t="s">
        <v>40</v>
      </c>
      <c r="BS26" s="16" t="s">
        <v>43</v>
      </c>
    </row>
    <row r="27" spans="61:71">
      <c r="BI27" s="16">
        <v>26</v>
      </c>
      <c r="BJ27" s="16" t="s">
        <v>1588</v>
      </c>
      <c r="BK27" s="16" t="s">
        <v>389</v>
      </c>
      <c r="BL27" s="16" t="s">
        <v>712</v>
      </c>
      <c r="BM27" s="16" t="s">
        <v>390</v>
      </c>
      <c r="BN27" s="16" t="s">
        <v>391</v>
      </c>
      <c r="BO27" s="16" t="s">
        <v>1252</v>
      </c>
      <c r="BP27" s="16" t="s">
        <v>367</v>
      </c>
      <c r="BQ27" s="16" t="s">
        <v>103</v>
      </c>
      <c r="BR27" s="16" t="s">
        <v>366</v>
      </c>
      <c r="BS27" s="16" t="s">
        <v>43</v>
      </c>
    </row>
    <row r="28" spans="61:71">
      <c r="BI28" s="16">
        <v>27</v>
      </c>
      <c r="BJ28" s="16" t="s">
        <v>1588</v>
      </c>
      <c r="BK28" s="16" t="s">
        <v>389</v>
      </c>
      <c r="BL28" s="16" t="s">
        <v>712</v>
      </c>
      <c r="BM28" s="16" t="s">
        <v>719</v>
      </c>
      <c r="BN28" s="16" t="s">
        <v>720</v>
      </c>
      <c r="BO28" s="16" t="s">
        <v>1250</v>
      </c>
      <c r="BP28" s="16" t="s">
        <v>41</v>
      </c>
      <c r="BQ28" s="16" t="s">
        <v>39</v>
      </c>
      <c r="BR28" s="16" t="s">
        <v>40</v>
      </c>
      <c r="BS28" s="16" t="s">
        <v>43</v>
      </c>
    </row>
    <row r="29" spans="61:71">
      <c r="BI29" s="16">
        <v>28</v>
      </c>
      <c r="BJ29" s="16" t="s">
        <v>1588</v>
      </c>
      <c r="BK29" s="16" t="s">
        <v>389</v>
      </c>
      <c r="BL29" s="16" t="s">
        <v>712</v>
      </c>
      <c r="BM29" s="16" t="s">
        <v>721</v>
      </c>
      <c r="BN29" s="16" t="s">
        <v>722</v>
      </c>
      <c r="BO29" s="16" t="s">
        <v>1250</v>
      </c>
      <c r="BP29" s="16" t="s">
        <v>41</v>
      </c>
      <c r="BQ29" s="16" t="s">
        <v>39</v>
      </c>
      <c r="BR29" s="16" t="s">
        <v>40</v>
      </c>
      <c r="BS29" s="16" t="s">
        <v>43</v>
      </c>
    </row>
    <row r="30" spans="61:71">
      <c r="BI30" s="16">
        <v>29</v>
      </c>
      <c r="BJ30" s="16" t="s">
        <v>1588</v>
      </c>
      <c r="BK30" s="16" t="s">
        <v>389</v>
      </c>
      <c r="BL30" s="16" t="s">
        <v>712</v>
      </c>
      <c r="BM30" s="16" t="s">
        <v>725</v>
      </c>
      <c r="BN30" s="16" t="s">
        <v>726</v>
      </c>
      <c r="BO30" s="16" t="s">
        <v>1250</v>
      </c>
      <c r="BP30" s="16" t="s">
        <v>41</v>
      </c>
      <c r="BQ30" s="16" t="s">
        <v>39</v>
      </c>
      <c r="BR30" s="16" t="s">
        <v>40</v>
      </c>
      <c r="BS30" s="16" t="s">
        <v>43</v>
      </c>
    </row>
    <row r="31" spans="61:71">
      <c r="BI31" s="16">
        <v>30</v>
      </c>
      <c r="BJ31" s="16" t="s">
        <v>1588</v>
      </c>
      <c r="BK31" s="16" t="s">
        <v>558</v>
      </c>
      <c r="BL31" s="16" t="s">
        <v>739</v>
      </c>
      <c r="BM31" s="16" t="s">
        <v>383</v>
      </c>
      <c r="BN31" s="16" t="s">
        <v>559</v>
      </c>
      <c r="BO31" s="16" t="s">
        <v>1250</v>
      </c>
      <c r="BP31" s="16" t="s">
        <v>41</v>
      </c>
      <c r="BQ31" s="16" t="s">
        <v>39</v>
      </c>
      <c r="BR31" s="16" t="s">
        <v>40</v>
      </c>
      <c r="BS31" s="16" t="s">
        <v>43</v>
      </c>
    </row>
    <row r="32" spans="61:71">
      <c r="BI32" s="16">
        <v>31</v>
      </c>
      <c r="BJ32" s="16" t="s">
        <v>1588</v>
      </c>
      <c r="BK32" s="16" t="s">
        <v>558</v>
      </c>
      <c r="BL32" s="16" t="s">
        <v>739</v>
      </c>
      <c r="BM32" s="16" t="s">
        <v>383</v>
      </c>
      <c r="BN32" s="16" t="s">
        <v>559</v>
      </c>
      <c r="BO32" s="16" t="s">
        <v>1254</v>
      </c>
      <c r="BP32" s="16" t="s">
        <v>105</v>
      </c>
      <c r="BQ32" s="16" t="s">
        <v>103</v>
      </c>
      <c r="BR32" s="16" t="s">
        <v>104</v>
      </c>
      <c r="BS32" s="16" t="s">
        <v>43</v>
      </c>
    </row>
    <row r="33" spans="61:71">
      <c r="BI33" s="16">
        <v>32</v>
      </c>
      <c r="BJ33" s="16" t="s">
        <v>1588</v>
      </c>
      <c r="BK33" s="16" t="s">
        <v>558</v>
      </c>
      <c r="BL33" s="16" t="s">
        <v>739</v>
      </c>
      <c r="BM33" s="16" t="s">
        <v>383</v>
      </c>
      <c r="BN33" s="16" t="s">
        <v>559</v>
      </c>
      <c r="BO33" s="16" t="s">
        <v>1252</v>
      </c>
      <c r="BP33" s="16" t="s">
        <v>367</v>
      </c>
      <c r="BQ33" s="16" t="s">
        <v>103</v>
      </c>
      <c r="BR33" s="16" t="s">
        <v>366</v>
      </c>
      <c r="BS33" s="16" t="s">
        <v>43</v>
      </c>
    </row>
    <row r="34" spans="61:71">
      <c r="BI34" s="16">
        <v>33</v>
      </c>
      <c r="BJ34" s="16" t="s">
        <v>1588</v>
      </c>
      <c r="BK34" s="16" t="s">
        <v>558</v>
      </c>
      <c r="BL34" s="16" t="s">
        <v>739</v>
      </c>
      <c r="BM34" s="16" t="s">
        <v>383</v>
      </c>
      <c r="BN34" s="16" t="s">
        <v>559</v>
      </c>
      <c r="BO34" s="16" t="s">
        <v>1259</v>
      </c>
      <c r="BP34" s="16" t="s">
        <v>224</v>
      </c>
      <c r="BQ34" s="16" t="s">
        <v>222</v>
      </c>
      <c r="BR34" s="16" t="s">
        <v>223</v>
      </c>
      <c r="BS34" s="16" t="s">
        <v>204</v>
      </c>
    </row>
    <row r="35" spans="61:71">
      <c r="BI35" s="16">
        <v>34</v>
      </c>
      <c r="BJ35" s="16" t="s">
        <v>1588</v>
      </c>
      <c r="BK35" s="16" t="s">
        <v>558</v>
      </c>
      <c r="BL35" s="16" t="s">
        <v>739</v>
      </c>
      <c r="BM35" s="16" t="s">
        <v>383</v>
      </c>
      <c r="BN35" s="16" t="s">
        <v>559</v>
      </c>
      <c r="BO35" s="16" t="s">
        <v>1259</v>
      </c>
      <c r="BP35" s="16" t="s">
        <v>224</v>
      </c>
      <c r="BQ35" s="16" t="s">
        <v>222</v>
      </c>
      <c r="BR35" s="16" t="s">
        <v>223</v>
      </c>
      <c r="BS35" s="16" t="s">
        <v>43</v>
      </c>
    </row>
    <row r="36" spans="61:71">
      <c r="BI36" s="16">
        <v>35</v>
      </c>
      <c r="BJ36" s="16" t="s">
        <v>1588</v>
      </c>
      <c r="BK36" s="16" t="s">
        <v>558</v>
      </c>
      <c r="BL36" s="16" t="s">
        <v>739</v>
      </c>
      <c r="BM36" s="16" t="s">
        <v>383</v>
      </c>
      <c r="BN36" s="16" t="s">
        <v>559</v>
      </c>
      <c r="BO36" s="16" t="s">
        <v>1260</v>
      </c>
      <c r="BP36" s="16" t="s">
        <v>1261</v>
      </c>
      <c r="BQ36" s="16" t="s">
        <v>1262</v>
      </c>
      <c r="BR36" s="16" t="s">
        <v>40</v>
      </c>
      <c r="BS36" s="16" t="s">
        <v>43</v>
      </c>
    </row>
    <row r="37" spans="61:71">
      <c r="BI37" s="16">
        <v>36</v>
      </c>
      <c r="BJ37" s="16" t="s">
        <v>1588</v>
      </c>
      <c r="BK37" s="16" t="s">
        <v>558</v>
      </c>
      <c r="BL37" s="16" t="s">
        <v>739</v>
      </c>
      <c r="BM37" s="16" t="s">
        <v>383</v>
      </c>
      <c r="BN37" s="16" t="s">
        <v>559</v>
      </c>
      <c r="BO37" s="16" t="s">
        <v>1257</v>
      </c>
      <c r="BP37" s="16" t="s">
        <v>358</v>
      </c>
      <c r="BQ37" s="16" t="s">
        <v>356</v>
      </c>
      <c r="BR37" s="16" t="s">
        <v>357</v>
      </c>
      <c r="BS37" s="16" t="s">
        <v>43</v>
      </c>
    </row>
    <row r="38" spans="61:71">
      <c r="BI38" s="16">
        <v>37</v>
      </c>
      <c r="BJ38" s="16" t="s">
        <v>1588</v>
      </c>
      <c r="BK38" s="16" t="s">
        <v>558</v>
      </c>
      <c r="BL38" s="16" t="s">
        <v>739</v>
      </c>
      <c r="BM38" s="16" t="s">
        <v>742</v>
      </c>
      <c r="BN38" s="16" t="s">
        <v>743</v>
      </c>
      <c r="BO38" s="16" t="s">
        <v>1250</v>
      </c>
      <c r="BP38" s="16" t="s">
        <v>41</v>
      </c>
      <c r="BQ38" s="16" t="s">
        <v>39</v>
      </c>
      <c r="BR38" s="16" t="s">
        <v>40</v>
      </c>
      <c r="BS38" s="16" t="s">
        <v>43</v>
      </c>
    </row>
    <row r="39" spans="61:71">
      <c r="BI39" s="16">
        <v>38</v>
      </c>
      <c r="BJ39" s="16" t="s">
        <v>1588</v>
      </c>
      <c r="BK39" s="16" t="s">
        <v>558</v>
      </c>
      <c r="BL39" s="16" t="s">
        <v>739</v>
      </c>
      <c r="BM39" s="16" t="s">
        <v>744</v>
      </c>
      <c r="BN39" s="16" t="s">
        <v>745</v>
      </c>
      <c r="BO39" s="16" t="s">
        <v>1250</v>
      </c>
      <c r="BP39" s="16" t="s">
        <v>41</v>
      </c>
      <c r="BQ39" s="16" t="s">
        <v>39</v>
      </c>
      <c r="BR39" s="16" t="s">
        <v>40</v>
      </c>
      <c r="BS39" s="16" t="s">
        <v>43</v>
      </c>
    </row>
    <row r="40" spans="61:71">
      <c r="BI40" s="16">
        <v>39</v>
      </c>
      <c r="BJ40" s="16" t="s">
        <v>1588</v>
      </c>
      <c r="BK40" s="16" t="s">
        <v>558</v>
      </c>
      <c r="BL40" s="16" t="s">
        <v>739</v>
      </c>
      <c r="BM40" s="16" t="s">
        <v>748</v>
      </c>
      <c r="BN40" s="16" t="s">
        <v>749</v>
      </c>
      <c r="BO40" s="16" t="s">
        <v>1250</v>
      </c>
      <c r="BP40" s="16" t="s">
        <v>41</v>
      </c>
      <c r="BQ40" s="16" t="s">
        <v>39</v>
      </c>
      <c r="BR40" s="16" t="s">
        <v>40</v>
      </c>
      <c r="BS40" s="16" t="s">
        <v>43</v>
      </c>
    </row>
    <row r="41" spans="61:71">
      <c r="BI41" s="16">
        <v>40</v>
      </c>
      <c r="BJ41" s="16" t="s">
        <v>1588</v>
      </c>
      <c r="BK41" s="16" t="s">
        <v>558</v>
      </c>
      <c r="BL41" s="16" t="s">
        <v>739</v>
      </c>
      <c r="BM41" s="16" t="s">
        <v>752</v>
      </c>
      <c r="BN41" s="16" t="s">
        <v>753</v>
      </c>
      <c r="BO41" s="16" t="s">
        <v>1250</v>
      </c>
      <c r="BP41" s="16" t="s">
        <v>41</v>
      </c>
      <c r="BQ41" s="16" t="s">
        <v>39</v>
      </c>
      <c r="BR41" s="16" t="s">
        <v>40</v>
      </c>
      <c r="BS41" s="16" t="s">
        <v>43</v>
      </c>
    </row>
    <row r="42" spans="61:71">
      <c r="BI42" s="16">
        <v>41</v>
      </c>
      <c r="BJ42" s="16" t="s">
        <v>1588</v>
      </c>
      <c r="BK42" s="16" t="s">
        <v>558</v>
      </c>
      <c r="BL42" s="16" t="s">
        <v>739</v>
      </c>
      <c r="BM42" s="16" t="s">
        <v>756</v>
      </c>
      <c r="BN42" s="16" t="s">
        <v>757</v>
      </c>
      <c r="BO42" s="16" t="s">
        <v>1250</v>
      </c>
      <c r="BP42" s="16" t="s">
        <v>41</v>
      </c>
      <c r="BQ42" s="16" t="s">
        <v>39</v>
      </c>
      <c r="BR42" s="16" t="s">
        <v>40</v>
      </c>
      <c r="BS42" s="16" t="s">
        <v>43</v>
      </c>
    </row>
    <row r="43" spans="61:71">
      <c r="BI43" s="16">
        <v>42</v>
      </c>
      <c r="BJ43" s="16" t="s">
        <v>1588</v>
      </c>
      <c r="BK43" s="16" t="s">
        <v>558</v>
      </c>
      <c r="BL43" s="16" t="s">
        <v>739</v>
      </c>
      <c r="BM43" s="16" t="s">
        <v>760</v>
      </c>
      <c r="BN43" s="16" t="s">
        <v>761</v>
      </c>
      <c r="BO43" s="16" t="s">
        <v>1250</v>
      </c>
      <c r="BP43" s="16" t="s">
        <v>41</v>
      </c>
      <c r="BQ43" s="16" t="s">
        <v>39</v>
      </c>
      <c r="BR43" s="16" t="s">
        <v>40</v>
      </c>
      <c r="BS43" s="16" t="s">
        <v>43</v>
      </c>
    </row>
    <row r="44" spans="61:71">
      <c r="BI44" s="16">
        <v>43</v>
      </c>
      <c r="BJ44" s="16" t="s">
        <v>1588</v>
      </c>
      <c r="BK44" s="16" t="s">
        <v>558</v>
      </c>
      <c r="BL44" s="16" t="s">
        <v>739</v>
      </c>
      <c r="BM44" s="16" t="s">
        <v>762</v>
      </c>
      <c r="BN44" s="16" t="s">
        <v>763</v>
      </c>
      <c r="BO44" s="16" t="s">
        <v>1250</v>
      </c>
      <c r="BP44" s="16" t="s">
        <v>41</v>
      </c>
      <c r="BQ44" s="16" t="s">
        <v>39</v>
      </c>
      <c r="BR44" s="16" t="s">
        <v>40</v>
      </c>
      <c r="BS44" s="16" t="s">
        <v>43</v>
      </c>
    </row>
    <row r="45" spans="61:71">
      <c r="BI45" s="16">
        <v>44</v>
      </c>
      <c r="BJ45" s="16" t="s">
        <v>1588</v>
      </c>
      <c r="BK45" s="16" t="s">
        <v>55</v>
      </c>
      <c r="BL45" s="16" t="s">
        <v>56</v>
      </c>
      <c r="BM45" s="16" t="s">
        <v>715</v>
      </c>
      <c r="BN45" s="16" t="s">
        <v>766</v>
      </c>
      <c r="BO45" s="16" t="s">
        <v>1250</v>
      </c>
      <c r="BP45" s="16" t="s">
        <v>41</v>
      </c>
      <c r="BQ45" s="16" t="s">
        <v>39</v>
      </c>
      <c r="BR45" s="16" t="s">
        <v>40</v>
      </c>
      <c r="BS45" s="16" t="s">
        <v>43</v>
      </c>
    </row>
    <row r="46" spans="61:71">
      <c r="BI46" s="16">
        <v>45</v>
      </c>
      <c r="BJ46" s="16" t="s">
        <v>1588</v>
      </c>
      <c r="BK46" s="16" t="s">
        <v>55</v>
      </c>
      <c r="BL46" s="16" t="s">
        <v>56</v>
      </c>
      <c r="BM46" s="16" t="s">
        <v>715</v>
      </c>
      <c r="BN46" s="16" t="s">
        <v>766</v>
      </c>
      <c r="BO46" s="16" t="s">
        <v>1260</v>
      </c>
      <c r="BP46" s="16" t="s">
        <v>1261</v>
      </c>
      <c r="BQ46" s="16" t="s">
        <v>1262</v>
      </c>
      <c r="BR46" s="16" t="s">
        <v>40</v>
      </c>
      <c r="BS46" s="16" t="s">
        <v>43</v>
      </c>
    </row>
    <row r="47" spans="61:71">
      <c r="BI47" s="16">
        <v>46</v>
      </c>
      <c r="BJ47" s="16" t="s">
        <v>1588</v>
      </c>
      <c r="BK47" s="16" t="s">
        <v>55</v>
      </c>
      <c r="BL47" s="16" t="s">
        <v>56</v>
      </c>
      <c r="BM47" s="16" t="s">
        <v>403</v>
      </c>
      <c r="BN47" s="16" t="s">
        <v>404</v>
      </c>
      <c r="BO47" s="16" t="s">
        <v>1254</v>
      </c>
      <c r="BP47" s="16" t="s">
        <v>105</v>
      </c>
      <c r="BQ47" s="16" t="s">
        <v>103</v>
      </c>
      <c r="BR47" s="16" t="s">
        <v>104</v>
      </c>
      <c r="BS47" s="16" t="s">
        <v>43</v>
      </c>
    </row>
    <row r="48" spans="61:71">
      <c r="BI48" s="16">
        <v>47</v>
      </c>
      <c r="BJ48" s="16" t="s">
        <v>1588</v>
      </c>
      <c r="BK48" s="16" t="s">
        <v>55</v>
      </c>
      <c r="BL48" s="16" t="s">
        <v>56</v>
      </c>
      <c r="BM48" s="16" t="s">
        <v>403</v>
      </c>
      <c r="BN48" s="16" t="s">
        <v>404</v>
      </c>
      <c r="BO48" s="16" t="s">
        <v>1252</v>
      </c>
      <c r="BP48" s="16" t="s">
        <v>367</v>
      </c>
      <c r="BQ48" s="16" t="s">
        <v>103</v>
      </c>
      <c r="BR48" s="16" t="s">
        <v>366</v>
      </c>
      <c r="BS48" s="16" t="s">
        <v>43</v>
      </c>
    </row>
    <row r="49" spans="61:71">
      <c r="BI49" s="16">
        <v>48</v>
      </c>
      <c r="BJ49" s="16" t="s">
        <v>1588</v>
      </c>
      <c r="BK49" s="16" t="s">
        <v>55</v>
      </c>
      <c r="BL49" s="16" t="s">
        <v>56</v>
      </c>
      <c r="BM49" s="16" t="s">
        <v>403</v>
      </c>
      <c r="BN49" s="16" t="s">
        <v>404</v>
      </c>
      <c r="BO49" s="16" t="s">
        <v>1263</v>
      </c>
      <c r="BP49" s="16" t="s">
        <v>59</v>
      </c>
      <c r="BQ49" s="16" t="s">
        <v>57</v>
      </c>
      <c r="BR49" s="16" t="s">
        <v>58</v>
      </c>
      <c r="BS49" s="16" t="s">
        <v>60</v>
      </c>
    </row>
    <row r="50" spans="61:71">
      <c r="BI50" s="16">
        <v>49</v>
      </c>
      <c r="BJ50" s="16" t="s">
        <v>1588</v>
      </c>
      <c r="BK50" s="16" t="s">
        <v>55</v>
      </c>
      <c r="BL50" s="16" t="s">
        <v>56</v>
      </c>
      <c r="BM50" s="16" t="s">
        <v>403</v>
      </c>
      <c r="BN50" s="16" t="s">
        <v>404</v>
      </c>
      <c r="BO50" s="16" t="s">
        <v>1260</v>
      </c>
      <c r="BP50" s="16" t="s">
        <v>1261</v>
      </c>
      <c r="BQ50" s="16" t="s">
        <v>1262</v>
      </c>
      <c r="BR50" s="16" t="s">
        <v>40</v>
      </c>
      <c r="BS50" s="16" t="s">
        <v>43</v>
      </c>
    </row>
    <row r="51" spans="61:71">
      <c r="BI51" s="16">
        <v>50</v>
      </c>
      <c r="BJ51" s="16" t="s">
        <v>1588</v>
      </c>
      <c r="BK51" s="16" t="s">
        <v>55</v>
      </c>
      <c r="BL51" s="16" t="s">
        <v>56</v>
      </c>
      <c r="BM51" s="16" t="s">
        <v>771</v>
      </c>
      <c r="BN51" s="16" t="s">
        <v>772</v>
      </c>
      <c r="BO51" s="16" t="s">
        <v>1250</v>
      </c>
      <c r="BP51" s="16" t="s">
        <v>41</v>
      </c>
      <c r="BQ51" s="16" t="s">
        <v>39</v>
      </c>
      <c r="BR51" s="16" t="s">
        <v>40</v>
      </c>
      <c r="BS51" s="16" t="s">
        <v>43</v>
      </c>
    </row>
    <row r="52" spans="61:71">
      <c r="BI52" s="16">
        <v>51</v>
      </c>
      <c r="BJ52" s="16" t="s">
        <v>1588</v>
      </c>
      <c r="BK52" s="16" t="s">
        <v>55</v>
      </c>
      <c r="BL52" s="16" t="s">
        <v>56</v>
      </c>
      <c r="BM52" s="16" t="s">
        <v>773</v>
      </c>
      <c r="BN52" s="16" t="s">
        <v>774</v>
      </c>
      <c r="BO52" s="16" t="s">
        <v>1260</v>
      </c>
      <c r="BP52" s="16" t="s">
        <v>1261</v>
      </c>
      <c r="BQ52" s="16" t="s">
        <v>1262</v>
      </c>
      <c r="BR52" s="16" t="s">
        <v>40</v>
      </c>
      <c r="BS52" s="16" t="s">
        <v>43</v>
      </c>
    </row>
    <row r="53" spans="61:71">
      <c r="BI53" s="16">
        <v>52</v>
      </c>
      <c r="BJ53" s="16" t="s">
        <v>1588</v>
      </c>
      <c r="BK53" s="16" t="s">
        <v>55</v>
      </c>
      <c r="BL53" s="16" t="s">
        <v>56</v>
      </c>
      <c r="BM53" s="16" t="s">
        <v>785</v>
      </c>
      <c r="BN53" s="16" t="s">
        <v>786</v>
      </c>
      <c r="BO53" s="16" t="s">
        <v>1250</v>
      </c>
      <c r="BP53" s="16" t="s">
        <v>41</v>
      </c>
      <c r="BQ53" s="16" t="s">
        <v>39</v>
      </c>
      <c r="BR53" s="16" t="s">
        <v>40</v>
      </c>
      <c r="BS53" s="16" t="s">
        <v>43</v>
      </c>
    </row>
    <row r="54" spans="61:71">
      <c r="BI54" s="16">
        <v>53</v>
      </c>
      <c r="BJ54" s="16" t="s">
        <v>1588</v>
      </c>
      <c r="BK54" s="16" t="s">
        <v>55</v>
      </c>
      <c r="BL54" s="16" t="s">
        <v>56</v>
      </c>
      <c r="BM54" s="16" t="s">
        <v>787</v>
      </c>
      <c r="BN54" s="16" t="s">
        <v>788</v>
      </c>
      <c r="BO54" s="16" t="s">
        <v>1250</v>
      </c>
      <c r="BP54" s="16" t="s">
        <v>41</v>
      </c>
      <c r="BQ54" s="16" t="s">
        <v>39</v>
      </c>
      <c r="BR54" s="16" t="s">
        <v>40</v>
      </c>
      <c r="BS54" s="16" t="s">
        <v>43</v>
      </c>
    </row>
    <row r="55" spans="61:71">
      <c r="BI55" s="16">
        <v>54</v>
      </c>
      <c r="BJ55" s="16" t="s">
        <v>1588</v>
      </c>
      <c r="BK55" s="16" t="s">
        <v>55</v>
      </c>
      <c r="BL55" s="16" t="s">
        <v>56</v>
      </c>
      <c r="BM55" s="16" t="s">
        <v>789</v>
      </c>
      <c r="BN55" s="16" t="s">
        <v>790</v>
      </c>
      <c r="BO55" s="16" t="s">
        <v>1260</v>
      </c>
      <c r="BP55" s="16" t="s">
        <v>1261</v>
      </c>
      <c r="BQ55" s="16" t="s">
        <v>1262</v>
      </c>
      <c r="BR55" s="16" t="s">
        <v>40</v>
      </c>
      <c r="BS55" s="16" t="s">
        <v>43</v>
      </c>
    </row>
    <row r="56" spans="61:71">
      <c r="BI56" s="16">
        <v>55</v>
      </c>
      <c r="BJ56" s="16" t="s">
        <v>1588</v>
      </c>
      <c r="BK56" s="16" t="s">
        <v>111</v>
      </c>
      <c r="BL56" s="16" t="s">
        <v>112</v>
      </c>
      <c r="BM56" s="16" t="s">
        <v>111</v>
      </c>
      <c r="BN56" s="16" t="s">
        <v>112</v>
      </c>
      <c r="BO56" s="16" t="s">
        <v>1264</v>
      </c>
      <c r="BP56" s="16" t="s">
        <v>420</v>
      </c>
      <c r="BQ56" s="16" t="s">
        <v>419</v>
      </c>
      <c r="BR56" s="16" t="s">
        <v>58</v>
      </c>
      <c r="BS56" s="16" t="s">
        <v>43</v>
      </c>
    </row>
    <row r="57" spans="61:71">
      <c r="BI57" s="16">
        <v>56</v>
      </c>
      <c r="BJ57" s="16" t="s">
        <v>1588</v>
      </c>
      <c r="BK57" s="16" t="s">
        <v>111</v>
      </c>
      <c r="BL57" s="16" t="s">
        <v>112</v>
      </c>
      <c r="BM57" s="16" t="s">
        <v>111</v>
      </c>
      <c r="BN57" s="16" t="s">
        <v>112</v>
      </c>
      <c r="BO57" s="16" t="s">
        <v>1254</v>
      </c>
      <c r="BP57" s="16" t="s">
        <v>105</v>
      </c>
      <c r="BQ57" s="16" t="s">
        <v>103</v>
      </c>
      <c r="BR57" s="16" t="s">
        <v>104</v>
      </c>
      <c r="BS57" s="16" t="s">
        <v>43</v>
      </c>
    </row>
    <row r="58" spans="61:71">
      <c r="BI58" s="16">
        <v>57</v>
      </c>
      <c r="BJ58" s="16" t="s">
        <v>1588</v>
      </c>
      <c r="BK58" s="16" t="s">
        <v>111</v>
      </c>
      <c r="BL58" s="16" t="s">
        <v>112</v>
      </c>
      <c r="BM58" s="16" t="s">
        <v>111</v>
      </c>
      <c r="BN58" s="16" t="s">
        <v>112</v>
      </c>
      <c r="BO58" s="16" t="s">
        <v>1252</v>
      </c>
      <c r="BP58" s="16" t="s">
        <v>367</v>
      </c>
      <c r="BQ58" s="16" t="s">
        <v>103</v>
      </c>
      <c r="BR58" s="16" t="s">
        <v>366</v>
      </c>
      <c r="BS58" s="16" t="s">
        <v>43</v>
      </c>
    </row>
    <row r="59" spans="61:71">
      <c r="BI59" s="16">
        <v>58</v>
      </c>
      <c r="BJ59" s="16" t="s">
        <v>1588</v>
      </c>
      <c r="BK59" s="16" t="s">
        <v>111</v>
      </c>
      <c r="BL59" s="16" t="s">
        <v>112</v>
      </c>
      <c r="BM59" s="16" t="s">
        <v>111</v>
      </c>
      <c r="BN59" s="16" t="s">
        <v>112</v>
      </c>
      <c r="BO59" s="16" t="s">
        <v>1265</v>
      </c>
      <c r="BP59" s="16" t="s">
        <v>114</v>
      </c>
      <c r="BQ59" s="16" t="s">
        <v>113</v>
      </c>
      <c r="BR59" s="16" t="s">
        <v>58</v>
      </c>
      <c r="BS59" s="16" t="s">
        <v>43</v>
      </c>
    </row>
    <row r="60" spans="61:71">
      <c r="BI60" s="16">
        <v>59</v>
      </c>
      <c r="BJ60" s="16" t="s">
        <v>1588</v>
      </c>
      <c r="BK60" s="16" t="s">
        <v>111</v>
      </c>
      <c r="BL60" s="16" t="s">
        <v>112</v>
      </c>
      <c r="BM60" s="16" t="s">
        <v>111</v>
      </c>
      <c r="BN60" s="16" t="s">
        <v>112</v>
      </c>
      <c r="BO60" s="16" t="s">
        <v>1263</v>
      </c>
      <c r="BP60" s="16" t="s">
        <v>59</v>
      </c>
      <c r="BQ60" s="16" t="s">
        <v>57</v>
      </c>
      <c r="BR60" s="16" t="s">
        <v>58</v>
      </c>
      <c r="BS60" s="16" t="s">
        <v>60</v>
      </c>
    </row>
    <row r="61" spans="61:71">
      <c r="BI61" s="16">
        <v>60</v>
      </c>
      <c r="BJ61" s="16" t="s">
        <v>1588</v>
      </c>
      <c r="BK61" s="16" t="s">
        <v>111</v>
      </c>
      <c r="BL61" s="16" t="s">
        <v>112</v>
      </c>
      <c r="BM61" s="16" t="s">
        <v>111</v>
      </c>
      <c r="BN61" s="16" t="s">
        <v>112</v>
      </c>
      <c r="BO61" s="16" t="s">
        <v>1257</v>
      </c>
      <c r="BP61" s="16" t="s">
        <v>358</v>
      </c>
      <c r="BQ61" s="16" t="s">
        <v>356</v>
      </c>
      <c r="BR61" s="16" t="s">
        <v>357</v>
      </c>
      <c r="BS61" s="16" t="s">
        <v>43</v>
      </c>
    </row>
    <row r="62" spans="61:71">
      <c r="BI62" s="16">
        <v>61</v>
      </c>
      <c r="BJ62" s="16" t="s">
        <v>1588</v>
      </c>
      <c r="BK62" s="16" t="s">
        <v>197</v>
      </c>
      <c r="BL62" s="16" t="s">
        <v>198</v>
      </c>
      <c r="BM62" s="16" t="s">
        <v>197</v>
      </c>
      <c r="BN62" s="16" t="s">
        <v>198</v>
      </c>
      <c r="BO62" s="16" t="s">
        <v>1266</v>
      </c>
      <c r="BP62" s="16" t="s">
        <v>201</v>
      </c>
      <c r="BQ62" s="16" t="s">
        <v>199</v>
      </c>
      <c r="BR62" s="16" t="s">
        <v>200</v>
      </c>
      <c r="BS62" s="16" t="s">
        <v>204</v>
      </c>
    </row>
    <row r="63" spans="61:71">
      <c r="BI63" s="16">
        <v>62</v>
      </c>
      <c r="BJ63" s="16" t="s">
        <v>1588</v>
      </c>
      <c r="BK63" s="16" t="s">
        <v>197</v>
      </c>
      <c r="BL63" s="16" t="s">
        <v>198</v>
      </c>
      <c r="BM63" s="16" t="s">
        <v>197</v>
      </c>
      <c r="BN63" s="16" t="s">
        <v>198</v>
      </c>
      <c r="BO63" s="16" t="s">
        <v>1267</v>
      </c>
      <c r="BP63" s="16" t="s">
        <v>254</v>
      </c>
      <c r="BQ63" s="16" t="s">
        <v>252</v>
      </c>
      <c r="BR63" s="16" t="s">
        <v>253</v>
      </c>
      <c r="BS63" s="16" t="s">
        <v>110</v>
      </c>
    </row>
    <row r="64" spans="61:71">
      <c r="BI64" s="16">
        <v>63</v>
      </c>
      <c r="BJ64" s="16" t="s">
        <v>1588</v>
      </c>
      <c r="BK64" s="16" t="s">
        <v>136</v>
      </c>
      <c r="BL64" s="16" t="s">
        <v>137</v>
      </c>
      <c r="BM64" s="16" t="s">
        <v>136</v>
      </c>
      <c r="BN64" s="16" t="s">
        <v>137</v>
      </c>
      <c r="BO64" s="16" t="s">
        <v>1268</v>
      </c>
      <c r="BP64" s="16" t="s">
        <v>207</v>
      </c>
      <c r="BQ64" s="16" t="s">
        <v>206</v>
      </c>
      <c r="BR64" s="16" t="s">
        <v>139</v>
      </c>
      <c r="BS64" s="16" t="s">
        <v>110</v>
      </c>
    </row>
    <row r="65" spans="61:71">
      <c r="BI65" s="16">
        <v>64</v>
      </c>
      <c r="BJ65" s="16" t="s">
        <v>1588</v>
      </c>
      <c r="BK65" s="16" t="s">
        <v>136</v>
      </c>
      <c r="BL65" s="16" t="s">
        <v>137</v>
      </c>
      <c r="BM65" s="16" t="s">
        <v>136</v>
      </c>
      <c r="BN65" s="16" t="s">
        <v>137</v>
      </c>
      <c r="BO65" s="16" t="s">
        <v>1269</v>
      </c>
      <c r="BP65" s="16" t="s">
        <v>1270</v>
      </c>
      <c r="BQ65" s="16" t="s">
        <v>1271</v>
      </c>
      <c r="BR65" s="16" t="s">
        <v>139</v>
      </c>
      <c r="BS65" s="16" t="s">
        <v>43</v>
      </c>
    </row>
    <row r="66" spans="61:71">
      <c r="BI66" s="16">
        <v>65</v>
      </c>
      <c r="BJ66" s="16" t="s">
        <v>1588</v>
      </c>
      <c r="BK66" s="16" t="s">
        <v>136</v>
      </c>
      <c r="BL66" s="16" t="s">
        <v>137</v>
      </c>
      <c r="BM66" s="16" t="s">
        <v>136</v>
      </c>
      <c r="BN66" s="16" t="s">
        <v>137</v>
      </c>
      <c r="BO66" s="16" t="s">
        <v>1254</v>
      </c>
      <c r="BP66" s="16" t="s">
        <v>105</v>
      </c>
      <c r="BQ66" s="16" t="s">
        <v>103</v>
      </c>
      <c r="BR66" s="16" t="s">
        <v>104</v>
      </c>
      <c r="BS66" s="16" t="s">
        <v>43</v>
      </c>
    </row>
    <row r="67" spans="61:71">
      <c r="BI67" s="16">
        <v>66</v>
      </c>
      <c r="BJ67" s="16" t="s">
        <v>1588</v>
      </c>
      <c r="BK67" s="16" t="s">
        <v>136</v>
      </c>
      <c r="BL67" s="16" t="s">
        <v>137</v>
      </c>
      <c r="BM67" s="16" t="s">
        <v>136</v>
      </c>
      <c r="BN67" s="16" t="s">
        <v>137</v>
      </c>
      <c r="BO67" s="16" t="s">
        <v>1272</v>
      </c>
      <c r="BP67" s="16" t="s">
        <v>430</v>
      </c>
      <c r="BQ67" s="16" t="s">
        <v>429</v>
      </c>
      <c r="BR67" s="16" t="s">
        <v>139</v>
      </c>
      <c r="BS67" s="16" t="s">
        <v>43</v>
      </c>
    </row>
    <row r="68" spans="61:71">
      <c r="BI68" s="16">
        <v>67</v>
      </c>
      <c r="BJ68" s="16" t="s">
        <v>1588</v>
      </c>
      <c r="BK68" s="16" t="s">
        <v>136</v>
      </c>
      <c r="BL68" s="16" t="s">
        <v>137</v>
      </c>
      <c r="BM68" s="16" t="s">
        <v>136</v>
      </c>
      <c r="BN68" s="16" t="s">
        <v>137</v>
      </c>
      <c r="BO68" s="16" t="s">
        <v>1273</v>
      </c>
      <c r="BP68" s="16" t="s">
        <v>140</v>
      </c>
      <c r="BQ68" s="16" t="s">
        <v>138</v>
      </c>
      <c r="BR68" s="16" t="s">
        <v>139</v>
      </c>
      <c r="BS68" s="16" t="s">
        <v>1274</v>
      </c>
    </row>
    <row r="69" spans="61:71">
      <c r="BI69" s="16">
        <v>68</v>
      </c>
      <c r="BJ69" s="16" t="s">
        <v>1588</v>
      </c>
      <c r="BK69" s="16" t="s">
        <v>136</v>
      </c>
      <c r="BL69" s="16" t="s">
        <v>137</v>
      </c>
      <c r="BM69" s="16" t="s">
        <v>136</v>
      </c>
      <c r="BN69" s="16" t="s">
        <v>137</v>
      </c>
      <c r="BO69" s="16" t="s">
        <v>1275</v>
      </c>
      <c r="BP69" s="16" t="s">
        <v>281</v>
      </c>
      <c r="BQ69" s="16" t="s">
        <v>279</v>
      </c>
      <c r="BR69" s="16" t="s">
        <v>280</v>
      </c>
      <c r="BS69" s="16" t="s">
        <v>110</v>
      </c>
    </row>
    <row r="70" spans="61:71">
      <c r="BI70" s="16">
        <v>69</v>
      </c>
      <c r="BJ70" s="16" t="s">
        <v>1588</v>
      </c>
      <c r="BK70" s="16" t="s">
        <v>136</v>
      </c>
      <c r="BL70" s="16" t="s">
        <v>137</v>
      </c>
      <c r="BM70" s="16" t="s">
        <v>136</v>
      </c>
      <c r="BN70" s="16" t="s">
        <v>137</v>
      </c>
      <c r="BO70" s="16" t="s">
        <v>1276</v>
      </c>
      <c r="BP70" s="16" t="s">
        <v>291</v>
      </c>
      <c r="BQ70" s="16" t="s">
        <v>289</v>
      </c>
      <c r="BR70" s="16" t="s">
        <v>290</v>
      </c>
      <c r="BS70" s="16" t="s">
        <v>204</v>
      </c>
    </row>
    <row r="71" spans="61:71">
      <c r="BI71" s="16">
        <v>70</v>
      </c>
      <c r="BJ71" s="16" t="s">
        <v>1588</v>
      </c>
      <c r="BK71" s="16" t="s">
        <v>70</v>
      </c>
      <c r="BL71" s="16" t="s">
        <v>71</v>
      </c>
      <c r="BM71" s="16" t="s">
        <v>70</v>
      </c>
      <c r="BN71" s="16" t="s">
        <v>71</v>
      </c>
      <c r="BO71" s="16" t="s">
        <v>1277</v>
      </c>
      <c r="BP71" s="16" t="s">
        <v>74</v>
      </c>
      <c r="BQ71" s="16" t="s">
        <v>72</v>
      </c>
      <c r="BR71" s="16" t="s">
        <v>73</v>
      </c>
      <c r="BS71" s="16" t="s">
        <v>43</v>
      </c>
    </row>
    <row r="72" spans="61:71">
      <c r="BI72" s="16">
        <v>71</v>
      </c>
      <c r="BJ72" s="16" t="s">
        <v>1588</v>
      </c>
      <c r="BK72" s="16" t="s">
        <v>70</v>
      </c>
      <c r="BL72" s="16" t="s">
        <v>71</v>
      </c>
      <c r="BM72" s="16" t="s">
        <v>70</v>
      </c>
      <c r="BN72" s="16" t="s">
        <v>71</v>
      </c>
      <c r="BO72" s="16" t="s">
        <v>1250</v>
      </c>
      <c r="BP72" s="16" t="s">
        <v>41</v>
      </c>
      <c r="BQ72" s="16" t="s">
        <v>39</v>
      </c>
      <c r="BR72" s="16" t="s">
        <v>40</v>
      </c>
      <c r="BS72" s="16" t="s">
        <v>43</v>
      </c>
    </row>
    <row r="73" spans="61:71">
      <c r="BI73" s="16">
        <v>72</v>
      </c>
      <c r="BJ73" s="16" t="s">
        <v>1588</v>
      </c>
      <c r="BK73" s="16" t="s">
        <v>70</v>
      </c>
      <c r="BL73" s="16" t="s">
        <v>71</v>
      </c>
      <c r="BM73" s="16" t="s">
        <v>70</v>
      </c>
      <c r="BN73" s="16" t="s">
        <v>71</v>
      </c>
      <c r="BO73" s="16" t="s">
        <v>1278</v>
      </c>
      <c r="BP73" s="16" t="s">
        <v>147</v>
      </c>
      <c r="BQ73" s="16" t="s">
        <v>146</v>
      </c>
      <c r="BR73" s="16" t="s">
        <v>40</v>
      </c>
      <c r="BS73" s="16" t="s">
        <v>43</v>
      </c>
    </row>
    <row r="74" spans="61:71">
      <c r="BI74" s="16">
        <v>73</v>
      </c>
      <c r="BJ74" s="16" t="s">
        <v>1588</v>
      </c>
      <c r="BK74" s="16" t="s">
        <v>70</v>
      </c>
      <c r="BL74" s="16" t="s">
        <v>71</v>
      </c>
      <c r="BM74" s="16" t="s">
        <v>70</v>
      </c>
      <c r="BN74" s="16" t="s">
        <v>71</v>
      </c>
      <c r="BO74" s="16" t="s">
        <v>1254</v>
      </c>
      <c r="BP74" s="16" t="s">
        <v>105</v>
      </c>
      <c r="BQ74" s="16" t="s">
        <v>103</v>
      </c>
      <c r="BR74" s="16" t="s">
        <v>104</v>
      </c>
      <c r="BS74" s="16" t="s">
        <v>43</v>
      </c>
    </row>
    <row r="75" spans="61:71">
      <c r="BI75" s="16">
        <v>74</v>
      </c>
      <c r="BJ75" s="16" t="s">
        <v>1588</v>
      </c>
      <c r="BK75" s="16" t="s">
        <v>70</v>
      </c>
      <c r="BL75" s="16" t="s">
        <v>71</v>
      </c>
      <c r="BM75" s="16" t="s">
        <v>70</v>
      </c>
      <c r="BN75" s="16" t="s">
        <v>71</v>
      </c>
      <c r="BO75" s="16" t="s">
        <v>1279</v>
      </c>
      <c r="BP75" s="16" t="s">
        <v>133</v>
      </c>
      <c r="BQ75" s="16" t="s">
        <v>132</v>
      </c>
      <c r="BR75" s="16" t="s">
        <v>40</v>
      </c>
      <c r="BS75" s="16" t="s">
        <v>43</v>
      </c>
    </row>
    <row r="76" spans="61:71">
      <c r="BI76" s="16">
        <v>75</v>
      </c>
      <c r="BJ76" s="16" t="s">
        <v>1588</v>
      </c>
      <c r="BK76" s="16" t="s">
        <v>70</v>
      </c>
      <c r="BL76" s="16" t="s">
        <v>71</v>
      </c>
      <c r="BM76" s="16" t="s">
        <v>70</v>
      </c>
      <c r="BN76" s="16" t="s">
        <v>71</v>
      </c>
      <c r="BO76" s="16" t="s">
        <v>1280</v>
      </c>
      <c r="BP76" s="16" t="s">
        <v>339</v>
      </c>
      <c r="BQ76" s="16" t="s">
        <v>338</v>
      </c>
      <c r="BR76" s="16" t="s">
        <v>73</v>
      </c>
      <c r="BS76" s="16" t="s">
        <v>43</v>
      </c>
    </row>
    <row r="77" spans="61:71">
      <c r="BI77" s="16">
        <v>76</v>
      </c>
      <c r="BJ77" s="16" t="s">
        <v>1588</v>
      </c>
      <c r="BK77" s="16" t="s">
        <v>70</v>
      </c>
      <c r="BL77" s="16" t="s">
        <v>71</v>
      </c>
      <c r="BM77" s="16" t="s">
        <v>70</v>
      </c>
      <c r="BN77" s="16" t="s">
        <v>71</v>
      </c>
      <c r="BO77" s="16" t="s">
        <v>1260</v>
      </c>
      <c r="BP77" s="16" t="s">
        <v>1261</v>
      </c>
      <c r="BQ77" s="16" t="s">
        <v>1262</v>
      </c>
      <c r="BR77" s="16" t="s">
        <v>40</v>
      </c>
      <c r="BS77" s="16" t="s">
        <v>43</v>
      </c>
    </row>
    <row r="78" spans="61:71">
      <c r="BI78" s="16">
        <v>77</v>
      </c>
      <c r="BJ78" s="16" t="s">
        <v>1588</v>
      </c>
      <c r="BK78" s="16" t="s">
        <v>70</v>
      </c>
      <c r="BL78" s="16" t="s">
        <v>71</v>
      </c>
      <c r="BM78" s="16" t="s">
        <v>70</v>
      </c>
      <c r="BN78" s="16" t="s">
        <v>71</v>
      </c>
      <c r="BO78" s="16" t="s">
        <v>1281</v>
      </c>
      <c r="BP78" s="16" t="s">
        <v>285</v>
      </c>
      <c r="BQ78" s="16" t="s">
        <v>284</v>
      </c>
      <c r="BR78" s="16" t="s">
        <v>40</v>
      </c>
      <c r="BS78" s="16" t="s">
        <v>43</v>
      </c>
    </row>
    <row r="79" spans="61:71">
      <c r="BI79" s="16">
        <v>78</v>
      </c>
      <c r="BJ79" s="16" t="s">
        <v>1588</v>
      </c>
      <c r="BK79" s="16" t="s">
        <v>70</v>
      </c>
      <c r="BL79" s="16" t="s">
        <v>71</v>
      </c>
      <c r="BM79" s="16" t="s">
        <v>70</v>
      </c>
      <c r="BN79" s="16" t="s">
        <v>71</v>
      </c>
      <c r="BO79" s="16" t="s">
        <v>1282</v>
      </c>
      <c r="BP79" s="16" t="s">
        <v>118</v>
      </c>
      <c r="BQ79" s="16" t="s">
        <v>117</v>
      </c>
      <c r="BR79" s="16" t="s">
        <v>98</v>
      </c>
      <c r="BS79" s="16" t="s">
        <v>110</v>
      </c>
    </row>
    <row r="80" spans="61:71">
      <c r="BI80" s="16">
        <v>79</v>
      </c>
      <c r="BJ80" s="16" t="s">
        <v>1588</v>
      </c>
      <c r="BK80" s="16" t="s">
        <v>70</v>
      </c>
      <c r="BL80" s="16" t="s">
        <v>71</v>
      </c>
      <c r="BM80" s="16" t="s">
        <v>70</v>
      </c>
      <c r="BN80" s="16" t="s">
        <v>71</v>
      </c>
      <c r="BO80" s="16" t="s">
        <v>1257</v>
      </c>
      <c r="BP80" s="16" t="s">
        <v>358</v>
      </c>
      <c r="BQ80" s="16" t="s">
        <v>356</v>
      </c>
      <c r="BR80" s="16" t="s">
        <v>357</v>
      </c>
      <c r="BS80" s="16" t="s">
        <v>43</v>
      </c>
    </row>
    <row r="81" spans="61:71">
      <c r="BI81" s="16">
        <v>80</v>
      </c>
      <c r="BJ81" s="16" t="s">
        <v>1588</v>
      </c>
      <c r="BK81" s="16" t="s">
        <v>70</v>
      </c>
      <c r="BL81" s="16" t="s">
        <v>71</v>
      </c>
      <c r="BM81" s="16" t="s">
        <v>70</v>
      </c>
      <c r="BN81" s="16" t="s">
        <v>71</v>
      </c>
      <c r="BO81" s="16" t="s">
        <v>1283</v>
      </c>
      <c r="BP81" s="16" t="s">
        <v>314</v>
      </c>
      <c r="BQ81" s="16" t="s">
        <v>312</v>
      </c>
      <c r="BR81" s="16" t="s">
        <v>313</v>
      </c>
      <c r="BS81" s="16" t="s">
        <v>43</v>
      </c>
    </row>
    <row r="82" spans="61:71">
      <c r="BI82" s="16">
        <v>81</v>
      </c>
      <c r="BJ82" s="16" t="s">
        <v>1588</v>
      </c>
      <c r="BK82" s="16" t="s">
        <v>70</v>
      </c>
      <c r="BL82" s="16" t="s">
        <v>71</v>
      </c>
      <c r="BM82" s="16" t="s">
        <v>70</v>
      </c>
      <c r="BN82" s="16" t="s">
        <v>71</v>
      </c>
      <c r="BO82" s="16" t="s">
        <v>1284</v>
      </c>
      <c r="BP82" s="16" t="s">
        <v>364</v>
      </c>
      <c r="BQ82" s="16" t="s">
        <v>363</v>
      </c>
      <c r="BR82" s="16" t="s">
        <v>98</v>
      </c>
      <c r="BS82" s="16" t="s">
        <v>43</v>
      </c>
    </row>
    <row r="83" spans="61:71">
      <c r="BI83" s="16">
        <v>82</v>
      </c>
      <c r="BJ83" s="16" t="s">
        <v>1588</v>
      </c>
      <c r="BK83" s="16" t="s">
        <v>70</v>
      </c>
      <c r="BL83" s="16" t="s">
        <v>71</v>
      </c>
      <c r="BM83" s="16" t="s">
        <v>70</v>
      </c>
      <c r="BN83" s="16" t="s">
        <v>71</v>
      </c>
      <c r="BO83" s="16" t="s">
        <v>1285</v>
      </c>
      <c r="BP83" s="16" t="s">
        <v>436</v>
      </c>
      <c r="BQ83" s="16" t="s">
        <v>434</v>
      </c>
      <c r="BR83" s="16" t="s">
        <v>435</v>
      </c>
      <c r="BS83" s="16" t="s">
        <v>43</v>
      </c>
    </row>
    <row r="84" spans="61:71">
      <c r="BI84" s="16">
        <v>83</v>
      </c>
      <c r="BJ84" s="16" t="s">
        <v>1588</v>
      </c>
      <c r="BK84" s="16" t="s">
        <v>70</v>
      </c>
      <c r="BL84" s="16" t="s">
        <v>71</v>
      </c>
      <c r="BM84" s="16" t="s">
        <v>70</v>
      </c>
      <c r="BN84" s="16" t="s">
        <v>71</v>
      </c>
      <c r="BO84" s="16" t="s">
        <v>1286</v>
      </c>
      <c r="BP84" s="16" t="s">
        <v>109</v>
      </c>
      <c r="BQ84" s="16" t="s">
        <v>108</v>
      </c>
      <c r="BR84" s="16" t="s">
        <v>73</v>
      </c>
      <c r="BS84" s="16" t="s">
        <v>110</v>
      </c>
    </row>
    <row r="85" spans="61:71">
      <c r="BI85" s="16">
        <v>84</v>
      </c>
      <c r="BJ85" s="16" t="s">
        <v>1588</v>
      </c>
      <c r="BK85" s="16" t="s">
        <v>271</v>
      </c>
      <c r="BL85" s="16" t="s">
        <v>272</v>
      </c>
      <c r="BM85" s="16" t="s">
        <v>271</v>
      </c>
      <c r="BN85" s="16" t="s">
        <v>272</v>
      </c>
      <c r="BO85" s="16" t="s">
        <v>1254</v>
      </c>
      <c r="BP85" s="16" t="s">
        <v>105</v>
      </c>
      <c r="BQ85" s="16" t="s">
        <v>103</v>
      </c>
      <c r="BR85" s="16" t="s">
        <v>104</v>
      </c>
      <c r="BS85" s="16" t="s">
        <v>43</v>
      </c>
    </row>
    <row r="86" spans="61:71">
      <c r="BI86" s="16">
        <v>85</v>
      </c>
      <c r="BJ86" s="16" t="s">
        <v>1588</v>
      </c>
      <c r="BK86" s="16" t="s">
        <v>271</v>
      </c>
      <c r="BL86" s="16" t="s">
        <v>272</v>
      </c>
      <c r="BM86" s="16" t="s">
        <v>271</v>
      </c>
      <c r="BN86" s="16" t="s">
        <v>272</v>
      </c>
      <c r="BO86" s="16" t="s">
        <v>1252</v>
      </c>
      <c r="BP86" s="16" t="s">
        <v>367</v>
      </c>
      <c r="BQ86" s="16" t="s">
        <v>103</v>
      </c>
      <c r="BR86" s="16" t="s">
        <v>366</v>
      </c>
      <c r="BS86" s="16" t="s">
        <v>43</v>
      </c>
    </row>
    <row r="87" spans="61:71">
      <c r="BI87" s="16">
        <v>86</v>
      </c>
      <c r="BJ87" s="16" t="s">
        <v>1588</v>
      </c>
      <c r="BK87" s="16" t="s">
        <v>271</v>
      </c>
      <c r="BL87" s="16" t="s">
        <v>272</v>
      </c>
      <c r="BM87" s="16" t="s">
        <v>271</v>
      </c>
      <c r="BN87" s="16" t="s">
        <v>272</v>
      </c>
      <c r="BO87" s="16" t="s">
        <v>1287</v>
      </c>
      <c r="BP87" s="16" t="s">
        <v>308</v>
      </c>
      <c r="BQ87" s="16" t="s">
        <v>307</v>
      </c>
      <c r="BR87" s="16" t="s">
        <v>274</v>
      </c>
      <c r="BS87" s="16" t="s">
        <v>43</v>
      </c>
    </row>
    <row r="88" spans="61:71">
      <c r="BI88" s="16">
        <v>87</v>
      </c>
      <c r="BJ88" s="16" t="s">
        <v>1588</v>
      </c>
      <c r="BK88" s="16" t="s">
        <v>271</v>
      </c>
      <c r="BL88" s="16" t="s">
        <v>272</v>
      </c>
      <c r="BM88" s="16" t="s">
        <v>271</v>
      </c>
      <c r="BN88" s="16" t="s">
        <v>272</v>
      </c>
      <c r="BO88" s="16" t="s">
        <v>1288</v>
      </c>
      <c r="BP88" s="16" t="s">
        <v>275</v>
      </c>
      <c r="BQ88" s="16" t="s">
        <v>273</v>
      </c>
      <c r="BR88" s="16" t="s">
        <v>274</v>
      </c>
      <c r="BS88" s="16" t="s">
        <v>43</v>
      </c>
    </row>
    <row r="89" spans="61:71">
      <c r="BI89" s="16">
        <v>88</v>
      </c>
      <c r="BJ89" s="16" t="s">
        <v>1588</v>
      </c>
      <c r="BK89" s="16" t="s">
        <v>163</v>
      </c>
      <c r="BL89" s="16" t="s">
        <v>164</v>
      </c>
      <c r="BM89" s="16" t="s">
        <v>163</v>
      </c>
      <c r="BN89" s="16" t="s">
        <v>164</v>
      </c>
      <c r="BO89" s="16" t="s">
        <v>1289</v>
      </c>
      <c r="BP89" s="16" t="s">
        <v>167</v>
      </c>
      <c r="BQ89" s="16" t="s">
        <v>165</v>
      </c>
      <c r="BR89" s="16" t="s">
        <v>166</v>
      </c>
      <c r="BS89" s="16" t="s">
        <v>43</v>
      </c>
    </row>
    <row r="90" spans="61:71">
      <c r="BI90" s="16">
        <v>89</v>
      </c>
      <c r="BJ90" s="16" t="s">
        <v>1588</v>
      </c>
      <c r="BK90" s="16" t="s">
        <v>163</v>
      </c>
      <c r="BL90" s="16" t="s">
        <v>164</v>
      </c>
      <c r="BM90" s="16" t="s">
        <v>163</v>
      </c>
      <c r="BN90" s="16" t="s">
        <v>164</v>
      </c>
      <c r="BO90" s="16" t="s">
        <v>1290</v>
      </c>
      <c r="BP90" s="16" t="s">
        <v>258</v>
      </c>
      <c r="BQ90" s="16" t="s">
        <v>257</v>
      </c>
      <c r="BR90" s="16" t="s">
        <v>166</v>
      </c>
      <c r="BS90" s="16" t="s">
        <v>43</v>
      </c>
    </row>
    <row r="91" spans="61:71">
      <c r="BI91" s="16">
        <v>90</v>
      </c>
      <c r="BJ91" s="16" t="s">
        <v>1588</v>
      </c>
      <c r="BK91" s="16" t="s">
        <v>163</v>
      </c>
      <c r="BL91" s="16" t="s">
        <v>164</v>
      </c>
      <c r="BM91" s="16" t="s">
        <v>163</v>
      </c>
      <c r="BN91" s="16" t="s">
        <v>164</v>
      </c>
      <c r="BO91" s="16" t="s">
        <v>1254</v>
      </c>
      <c r="BP91" s="16" t="s">
        <v>105</v>
      </c>
      <c r="BQ91" s="16" t="s">
        <v>103</v>
      </c>
      <c r="BR91" s="16" t="s">
        <v>104</v>
      </c>
      <c r="BS91" s="16" t="s">
        <v>43</v>
      </c>
    </row>
    <row r="92" spans="61:71">
      <c r="BI92" s="16">
        <v>91</v>
      </c>
      <c r="BJ92" s="16" t="s">
        <v>1588</v>
      </c>
      <c r="BK92" s="16" t="s">
        <v>163</v>
      </c>
      <c r="BL92" s="16" t="s">
        <v>164</v>
      </c>
      <c r="BM92" s="16" t="s">
        <v>163</v>
      </c>
      <c r="BN92" s="16" t="s">
        <v>164</v>
      </c>
      <c r="BO92" s="16" t="s">
        <v>1291</v>
      </c>
      <c r="BP92" s="16" t="s">
        <v>304</v>
      </c>
      <c r="BQ92" s="16" t="s">
        <v>303</v>
      </c>
      <c r="BR92" s="16" t="s">
        <v>166</v>
      </c>
      <c r="BS92" s="16" t="s">
        <v>43</v>
      </c>
    </row>
    <row r="93" spans="61:71">
      <c r="BI93" s="16">
        <v>92</v>
      </c>
      <c r="BJ93" s="16" t="s">
        <v>1588</v>
      </c>
      <c r="BK93" s="16" t="s">
        <v>95</v>
      </c>
      <c r="BL93" s="16" t="s">
        <v>96</v>
      </c>
      <c r="BM93" s="16" t="s">
        <v>95</v>
      </c>
      <c r="BN93" s="16" t="s">
        <v>96</v>
      </c>
      <c r="BO93" s="16" t="s">
        <v>1254</v>
      </c>
      <c r="BP93" s="16" t="s">
        <v>105</v>
      </c>
      <c r="BQ93" s="16" t="s">
        <v>103</v>
      </c>
      <c r="BR93" s="16" t="s">
        <v>104</v>
      </c>
      <c r="BS93" s="16" t="s">
        <v>43</v>
      </c>
    </row>
    <row r="94" spans="61:71">
      <c r="BI94" s="16">
        <v>93</v>
      </c>
      <c r="BJ94" s="16" t="s">
        <v>1588</v>
      </c>
      <c r="BK94" s="16" t="s">
        <v>95</v>
      </c>
      <c r="BL94" s="16" t="s">
        <v>96</v>
      </c>
      <c r="BM94" s="16" t="s">
        <v>95</v>
      </c>
      <c r="BN94" s="16" t="s">
        <v>96</v>
      </c>
      <c r="BO94" s="16" t="s">
        <v>1252</v>
      </c>
      <c r="BP94" s="16" t="s">
        <v>367</v>
      </c>
      <c r="BQ94" s="16" t="s">
        <v>103</v>
      </c>
      <c r="BR94" s="16" t="s">
        <v>366</v>
      </c>
      <c r="BS94" s="16" t="s">
        <v>43</v>
      </c>
    </row>
    <row r="95" spans="61:71">
      <c r="BI95" s="16">
        <v>94</v>
      </c>
      <c r="BJ95" s="16" t="s">
        <v>1588</v>
      </c>
      <c r="BK95" s="16" t="s">
        <v>95</v>
      </c>
      <c r="BL95" s="16" t="s">
        <v>96</v>
      </c>
      <c r="BM95" s="16" t="s">
        <v>95</v>
      </c>
      <c r="BN95" s="16" t="s">
        <v>96</v>
      </c>
      <c r="BO95" s="16" t="s">
        <v>1292</v>
      </c>
      <c r="BP95" s="16" t="s">
        <v>426</v>
      </c>
      <c r="BQ95" s="16" t="s">
        <v>424</v>
      </c>
      <c r="BR95" s="16" t="s">
        <v>425</v>
      </c>
      <c r="BS95" s="16" t="s">
        <v>43</v>
      </c>
    </row>
    <row r="96" spans="61:71">
      <c r="BI96" s="16">
        <v>95</v>
      </c>
      <c r="BJ96" s="16" t="s">
        <v>1588</v>
      </c>
      <c r="BK96" s="16" t="s">
        <v>95</v>
      </c>
      <c r="BL96" s="16" t="s">
        <v>96</v>
      </c>
      <c r="BM96" s="16" t="s">
        <v>95</v>
      </c>
      <c r="BN96" s="16" t="s">
        <v>96</v>
      </c>
      <c r="BO96" s="16" t="s">
        <v>1259</v>
      </c>
      <c r="BP96" s="16" t="s">
        <v>224</v>
      </c>
      <c r="BQ96" s="16" t="s">
        <v>222</v>
      </c>
      <c r="BR96" s="16" t="s">
        <v>223</v>
      </c>
      <c r="BS96" s="16" t="s">
        <v>43</v>
      </c>
    </row>
    <row r="97" spans="61:71">
      <c r="BI97" s="16">
        <v>96</v>
      </c>
      <c r="BJ97" s="16" t="s">
        <v>1588</v>
      </c>
      <c r="BK97" s="16" t="s">
        <v>95</v>
      </c>
      <c r="BL97" s="16" t="s">
        <v>96</v>
      </c>
      <c r="BM97" s="16" t="s">
        <v>95</v>
      </c>
      <c r="BN97" s="16" t="s">
        <v>96</v>
      </c>
      <c r="BO97" s="16" t="s">
        <v>1259</v>
      </c>
      <c r="BP97" s="16" t="s">
        <v>224</v>
      </c>
      <c r="BQ97" s="16" t="s">
        <v>222</v>
      </c>
      <c r="BR97" s="16" t="s">
        <v>223</v>
      </c>
      <c r="BS97" s="16" t="s">
        <v>204</v>
      </c>
    </row>
    <row r="98" spans="61:71">
      <c r="BI98" s="16">
        <v>97</v>
      </c>
      <c r="BJ98" s="16" t="s">
        <v>1588</v>
      </c>
      <c r="BK98" s="16" t="s">
        <v>95</v>
      </c>
      <c r="BL98" s="16" t="s">
        <v>96</v>
      </c>
      <c r="BM98" s="16" t="s">
        <v>95</v>
      </c>
      <c r="BN98" s="16" t="s">
        <v>96</v>
      </c>
      <c r="BO98" s="16" t="s">
        <v>1293</v>
      </c>
      <c r="BP98" s="16" t="s">
        <v>99</v>
      </c>
      <c r="BQ98" s="16" t="s">
        <v>97</v>
      </c>
      <c r="BR98" s="16" t="s">
        <v>98</v>
      </c>
      <c r="BS98" s="16" t="s">
        <v>43</v>
      </c>
    </row>
    <row r="99" spans="61:71">
      <c r="BI99" s="16">
        <v>98</v>
      </c>
      <c r="BJ99" s="16" t="s">
        <v>1588</v>
      </c>
      <c r="BK99" s="16" t="s">
        <v>85</v>
      </c>
      <c r="BL99" s="16" t="s">
        <v>86</v>
      </c>
      <c r="BM99" s="16" t="s">
        <v>85</v>
      </c>
      <c r="BN99" s="16" t="s">
        <v>86</v>
      </c>
      <c r="BO99" s="16" t="s">
        <v>1294</v>
      </c>
      <c r="BP99" s="16" t="s">
        <v>151</v>
      </c>
      <c r="BQ99" s="16" t="s">
        <v>150</v>
      </c>
      <c r="BR99" s="16" t="s">
        <v>88</v>
      </c>
      <c r="BS99" s="16" t="s">
        <v>43</v>
      </c>
    </row>
    <row r="100" spans="61:71">
      <c r="BI100" s="16">
        <v>99</v>
      </c>
      <c r="BJ100" s="16" t="s">
        <v>1588</v>
      </c>
      <c r="BK100" s="16" t="s">
        <v>85</v>
      </c>
      <c r="BL100" s="16" t="s">
        <v>86</v>
      </c>
      <c r="BM100" s="16" t="s">
        <v>85</v>
      </c>
      <c r="BN100" s="16" t="s">
        <v>86</v>
      </c>
      <c r="BO100" s="16" t="s">
        <v>1295</v>
      </c>
      <c r="BP100" s="16" t="s">
        <v>93</v>
      </c>
      <c r="BQ100" s="16" t="s">
        <v>92</v>
      </c>
      <c r="BR100" s="16" t="s">
        <v>88</v>
      </c>
      <c r="BS100" s="16" t="s">
        <v>43</v>
      </c>
    </row>
    <row r="101" spans="61:71">
      <c r="BI101" s="16">
        <v>100</v>
      </c>
      <c r="BJ101" s="16" t="s">
        <v>1588</v>
      </c>
      <c r="BK101" s="16" t="s">
        <v>85</v>
      </c>
      <c r="BL101" s="16" t="s">
        <v>86</v>
      </c>
      <c r="BM101" s="16" t="s">
        <v>85</v>
      </c>
      <c r="BN101" s="16" t="s">
        <v>86</v>
      </c>
      <c r="BO101" s="16" t="s">
        <v>1296</v>
      </c>
      <c r="BP101" s="16" t="s">
        <v>219</v>
      </c>
      <c r="BQ101" s="16" t="s">
        <v>218</v>
      </c>
      <c r="BR101" s="16" t="s">
        <v>88</v>
      </c>
      <c r="BS101" s="16" t="s">
        <v>43</v>
      </c>
    </row>
    <row r="102" spans="61:71">
      <c r="BI102" s="16">
        <v>101</v>
      </c>
      <c r="BJ102" s="16" t="s">
        <v>1588</v>
      </c>
      <c r="BK102" s="16" t="s">
        <v>85</v>
      </c>
      <c r="BL102" s="16" t="s">
        <v>86</v>
      </c>
      <c r="BM102" s="16" t="s">
        <v>85</v>
      </c>
      <c r="BN102" s="16" t="s">
        <v>86</v>
      </c>
      <c r="BO102" s="16" t="s">
        <v>1297</v>
      </c>
      <c r="BP102" s="16" t="s">
        <v>1298</v>
      </c>
      <c r="BQ102" s="16" t="s">
        <v>1299</v>
      </c>
      <c r="BR102" s="16" t="s">
        <v>88</v>
      </c>
      <c r="BS102" s="16" t="s">
        <v>43</v>
      </c>
    </row>
    <row r="103" spans="61:71">
      <c r="BI103" s="16">
        <v>102</v>
      </c>
      <c r="BJ103" s="16" t="s">
        <v>1588</v>
      </c>
      <c r="BK103" s="16" t="s">
        <v>85</v>
      </c>
      <c r="BL103" s="16" t="s">
        <v>86</v>
      </c>
      <c r="BM103" s="16" t="s">
        <v>85</v>
      </c>
      <c r="BN103" s="16" t="s">
        <v>86</v>
      </c>
      <c r="BO103" s="16" t="s">
        <v>1254</v>
      </c>
      <c r="BP103" s="16" t="s">
        <v>105</v>
      </c>
      <c r="BQ103" s="16" t="s">
        <v>103</v>
      </c>
      <c r="BR103" s="16" t="s">
        <v>104</v>
      </c>
      <c r="BS103" s="16" t="s">
        <v>43</v>
      </c>
    </row>
    <row r="104" spans="61:71">
      <c r="BI104" s="16">
        <v>103</v>
      </c>
      <c r="BJ104" s="16" t="s">
        <v>1588</v>
      </c>
      <c r="BK104" s="16" t="s">
        <v>85</v>
      </c>
      <c r="BL104" s="16" t="s">
        <v>86</v>
      </c>
      <c r="BM104" s="16" t="s">
        <v>85</v>
      </c>
      <c r="BN104" s="16" t="s">
        <v>86</v>
      </c>
      <c r="BO104" s="16" t="s">
        <v>1252</v>
      </c>
      <c r="BP104" s="16" t="s">
        <v>367</v>
      </c>
      <c r="BQ104" s="16" t="s">
        <v>103</v>
      </c>
      <c r="BR104" s="16" t="s">
        <v>366</v>
      </c>
      <c r="BS104" s="16" t="s">
        <v>43</v>
      </c>
    </row>
    <row r="105" spans="61:71">
      <c r="BI105" s="16">
        <v>104</v>
      </c>
      <c r="BJ105" s="16" t="s">
        <v>1588</v>
      </c>
      <c r="BK105" s="16" t="s">
        <v>85</v>
      </c>
      <c r="BL105" s="16" t="s">
        <v>86</v>
      </c>
      <c r="BM105" s="16" t="s">
        <v>85</v>
      </c>
      <c r="BN105" s="16" t="s">
        <v>86</v>
      </c>
      <c r="BO105" s="16" t="s">
        <v>1300</v>
      </c>
      <c r="BP105" s="16" t="s">
        <v>89</v>
      </c>
      <c r="BQ105" s="16" t="s">
        <v>87</v>
      </c>
      <c r="BR105" s="16" t="s">
        <v>88</v>
      </c>
      <c r="BS105" s="16" t="s">
        <v>43</v>
      </c>
    </row>
    <row r="106" spans="61:71">
      <c r="BI106" s="16">
        <v>105</v>
      </c>
      <c r="BJ106" s="16" t="s">
        <v>1588</v>
      </c>
      <c r="BK106" s="16" t="s">
        <v>85</v>
      </c>
      <c r="BL106" s="16" t="s">
        <v>86</v>
      </c>
      <c r="BM106" s="16" t="s">
        <v>85</v>
      </c>
      <c r="BN106" s="16" t="s">
        <v>86</v>
      </c>
      <c r="BO106" s="16" t="s">
        <v>1301</v>
      </c>
      <c r="BP106" s="16" t="s">
        <v>144</v>
      </c>
      <c r="BQ106" s="16" t="s">
        <v>143</v>
      </c>
      <c r="BR106" s="16" t="s">
        <v>88</v>
      </c>
      <c r="BS106" s="16" t="s">
        <v>43</v>
      </c>
    </row>
    <row r="107" spans="61:71">
      <c r="BI107" s="16">
        <v>106</v>
      </c>
      <c r="BJ107" s="16" t="s">
        <v>1588</v>
      </c>
      <c r="BK107" s="16" t="s">
        <v>85</v>
      </c>
      <c r="BL107" s="16" t="s">
        <v>86</v>
      </c>
      <c r="BM107" s="16" t="s">
        <v>85</v>
      </c>
      <c r="BN107" s="16" t="s">
        <v>86</v>
      </c>
      <c r="BO107" s="16" t="s">
        <v>1302</v>
      </c>
      <c r="BP107" s="16" t="s">
        <v>352</v>
      </c>
      <c r="BQ107" s="16" t="s">
        <v>350</v>
      </c>
      <c r="BR107" s="16" t="s">
        <v>351</v>
      </c>
      <c r="BS107" s="16" t="s">
        <v>43</v>
      </c>
    </row>
    <row r="108" spans="61:71">
      <c r="BI108" s="16">
        <v>107</v>
      </c>
      <c r="BJ108" s="16" t="s">
        <v>1588</v>
      </c>
      <c r="BK108" s="16" t="s">
        <v>85</v>
      </c>
      <c r="BL108" s="16" t="s">
        <v>86</v>
      </c>
      <c r="BM108" s="16" t="s">
        <v>85</v>
      </c>
      <c r="BN108" s="16" t="s">
        <v>86</v>
      </c>
      <c r="BO108" s="16" t="s">
        <v>1303</v>
      </c>
      <c r="BP108" s="16" t="s">
        <v>408</v>
      </c>
      <c r="BQ108" s="16" t="s">
        <v>407</v>
      </c>
      <c r="BR108" s="16" t="s">
        <v>88</v>
      </c>
      <c r="BS108" s="16" t="s">
        <v>43</v>
      </c>
    </row>
    <row r="109" spans="61:71">
      <c r="BI109" s="16">
        <v>108</v>
      </c>
      <c r="BJ109" s="16" t="s">
        <v>1588</v>
      </c>
      <c r="BK109" s="16" t="s">
        <v>85</v>
      </c>
      <c r="BL109" s="16" t="s">
        <v>86</v>
      </c>
      <c r="BM109" s="16" t="s">
        <v>85</v>
      </c>
      <c r="BN109" s="16" t="s">
        <v>86</v>
      </c>
      <c r="BO109" s="16" t="s">
        <v>1257</v>
      </c>
      <c r="BP109" s="16" t="s">
        <v>358</v>
      </c>
      <c r="BQ109" s="16" t="s">
        <v>356</v>
      </c>
      <c r="BR109" s="16" t="s">
        <v>357</v>
      </c>
      <c r="BS109" s="16" t="s">
        <v>43</v>
      </c>
    </row>
    <row r="110" spans="61:71">
      <c r="BI110" s="16">
        <v>109</v>
      </c>
      <c r="BJ110" s="16" t="s">
        <v>1588</v>
      </c>
      <c r="BK110" s="16" t="s">
        <v>210</v>
      </c>
      <c r="BL110" s="16" t="s">
        <v>211</v>
      </c>
      <c r="BM110" s="16" t="s">
        <v>791</v>
      </c>
      <c r="BN110" s="16" t="s">
        <v>792</v>
      </c>
      <c r="BO110" s="16" t="s">
        <v>1304</v>
      </c>
      <c r="BP110" s="16" t="s">
        <v>214</v>
      </c>
      <c r="BQ110" s="16" t="s">
        <v>212</v>
      </c>
      <c r="BR110" s="16" t="s">
        <v>213</v>
      </c>
      <c r="BS110" s="16" t="s">
        <v>43</v>
      </c>
    </row>
    <row r="111" spans="61:71">
      <c r="BI111" s="16">
        <v>110</v>
      </c>
      <c r="BJ111" s="16" t="s">
        <v>1588</v>
      </c>
      <c r="BK111" s="16" t="s">
        <v>210</v>
      </c>
      <c r="BL111" s="16" t="s">
        <v>211</v>
      </c>
      <c r="BM111" s="16" t="s">
        <v>791</v>
      </c>
      <c r="BN111" s="16" t="s">
        <v>792</v>
      </c>
      <c r="BO111" s="16" t="s">
        <v>1254</v>
      </c>
      <c r="BP111" s="16" t="s">
        <v>105</v>
      </c>
      <c r="BQ111" s="16" t="s">
        <v>103</v>
      </c>
      <c r="BR111" s="16" t="s">
        <v>104</v>
      </c>
      <c r="BS111" s="16" t="s">
        <v>43</v>
      </c>
    </row>
    <row r="112" spans="61:71">
      <c r="BI112" s="16">
        <v>111</v>
      </c>
      <c r="BJ112" s="16" t="s">
        <v>1588</v>
      </c>
      <c r="BK112" s="16" t="s">
        <v>46</v>
      </c>
      <c r="BL112" s="16" t="s">
        <v>807</v>
      </c>
      <c r="BM112" s="16" t="s">
        <v>126</v>
      </c>
      <c r="BN112" s="16" t="s">
        <v>127</v>
      </c>
      <c r="BO112" s="16" t="s">
        <v>1250</v>
      </c>
      <c r="BP112" s="16" t="s">
        <v>41</v>
      </c>
      <c r="BQ112" s="16" t="s">
        <v>39</v>
      </c>
      <c r="BR112" s="16" t="s">
        <v>40</v>
      </c>
      <c r="BS112" s="16" t="s">
        <v>43</v>
      </c>
    </row>
    <row r="113" spans="61:71">
      <c r="BI113" s="16">
        <v>112</v>
      </c>
      <c r="BJ113" s="16" t="s">
        <v>1588</v>
      </c>
      <c r="BK113" s="16" t="s">
        <v>46</v>
      </c>
      <c r="BL113" s="16" t="s">
        <v>807</v>
      </c>
      <c r="BM113" s="16" t="s">
        <v>126</v>
      </c>
      <c r="BN113" s="16" t="s">
        <v>127</v>
      </c>
      <c r="BO113" s="16" t="s">
        <v>1305</v>
      </c>
      <c r="BP113" s="16" t="s">
        <v>194</v>
      </c>
      <c r="BQ113" s="16" t="s">
        <v>192</v>
      </c>
      <c r="BR113" s="16" t="s">
        <v>193</v>
      </c>
      <c r="BS113" s="16" t="s">
        <v>43</v>
      </c>
    </row>
    <row r="114" spans="61:71">
      <c r="BI114" s="16">
        <v>113</v>
      </c>
      <c r="BJ114" s="16" t="s">
        <v>1588</v>
      </c>
      <c r="BK114" s="16" t="s">
        <v>46</v>
      </c>
      <c r="BL114" s="16" t="s">
        <v>807</v>
      </c>
      <c r="BM114" s="16" t="s">
        <v>126</v>
      </c>
      <c r="BN114" s="16" t="s">
        <v>127</v>
      </c>
      <c r="BO114" s="16" t="s">
        <v>1254</v>
      </c>
      <c r="BP114" s="16" t="s">
        <v>105</v>
      </c>
      <c r="BQ114" s="16" t="s">
        <v>103</v>
      </c>
      <c r="BR114" s="16" t="s">
        <v>104</v>
      </c>
      <c r="BS114" s="16" t="s">
        <v>43</v>
      </c>
    </row>
    <row r="115" spans="61:71">
      <c r="BI115" s="16">
        <v>114</v>
      </c>
      <c r="BJ115" s="16" t="s">
        <v>1588</v>
      </c>
      <c r="BK115" s="16" t="s">
        <v>46</v>
      </c>
      <c r="BL115" s="16" t="s">
        <v>807</v>
      </c>
      <c r="BM115" s="16" t="s">
        <v>126</v>
      </c>
      <c r="BN115" s="16" t="s">
        <v>127</v>
      </c>
      <c r="BO115" s="16" t="s">
        <v>1306</v>
      </c>
      <c r="BP115" s="16" t="s">
        <v>416</v>
      </c>
      <c r="BQ115" s="16" t="s">
        <v>415</v>
      </c>
      <c r="BR115" s="16" t="s">
        <v>193</v>
      </c>
      <c r="BS115" s="16" t="s">
        <v>204</v>
      </c>
    </row>
    <row r="116" spans="61:71">
      <c r="BI116" s="16">
        <v>115</v>
      </c>
      <c r="BJ116" s="16" t="s">
        <v>1588</v>
      </c>
      <c r="BK116" s="16" t="s">
        <v>46</v>
      </c>
      <c r="BL116" s="16" t="s">
        <v>807</v>
      </c>
      <c r="BM116" s="16" t="s">
        <v>126</v>
      </c>
      <c r="BN116" s="16" t="s">
        <v>127</v>
      </c>
      <c r="BO116" s="16" t="s">
        <v>1307</v>
      </c>
      <c r="BP116" s="16" t="s">
        <v>129</v>
      </c>
      <c r="BQ116" s="16" t="s">
        <v>128</v>
      </c>
      <c r="BR116" s="16" t="s">
        <v>73</v>
      </c>
      <c r="BS116" s="16" t="s">
        <v>43</v>
      </c>
    </row>
    <row r="117" spans="61:71">
      <c r="BI117" s="16">
        <v>116</v>
      </c>
      <c r="BJ117" s="16" t="s">
        <v>1588</v>
      </c>
      <c r="BK117" s="16" t="s">
        <v>46</v>
      </c>
      <c r="BL117" s="16" t="s">
        <v>807</v>
      </c>
      <c r="BM117" s="16" t="s">
        <v>812</v>
      </c>
      <c r="BN117" s="16" t="s">
        <v>813</v>
      </c>
      <c r="BO117" s="16" t="s">
        <v>1250</v>
      </c>
      <c r="BP117" s="16" t="s">
        <v>41</v>
      </c>
      <c r="BQ117" s="16" t="s">
        <v>39</v>
      </c>
      <c r="BR117" s="16" t="s">
        <v>40</v>
      </c>
      <c r="BS117" s="16" t="s">
        <v>43</v>
      </c>
    </row>
    <row r="118" spans="61:71">
      <c r="BI118" s="16">
        <v>117</v>
      </c>
      <c r="BJ118" s="16" t="s">
        <v>1588</v>
      </c>
      <c r="BK118" s="16" t="s">
        <v>46</v>
      </c>
      <c r="BL118" s="16" t="s">
        <v>807</v>
      </c>
      <c r="BM118" s="16" t="s">
        <v>47</v>
      </c>
      <c r="BN118" s="16" t="s">
        <v>48</v>
      </c>
      <c r="BO118" s="16" t="s">
        <v>1250</v>
      </c>
      <c r="BP118" s="16" t="s">
        <v>41</v>
      </c>
      <c r="BQ118" s="16" t="s">
        <v>39</v>
      </c>
      <c r="BR118" s="16" t="s">
        <v>40</v>
      </c>
      <c r="BS118" s="16" t="s">
        <v>43</v>
      </c>
    </row>
    <row r="119" spans="61:71">
      <c r="BI119" s="16">
        <v>118</v>
      </c>
      <c r="BJ119" s="16" t="s">
        <v>1588</v>
      </c>
      <c r="BK119" s="16" t="s">
        <v>46</v>
      </c>
      <c r="BL119" s="16" t="s">
        <v>807</v>
      </c>
      <c r="BM119" s="16" t="s">
        <v>47</v>
      </c>
      <c r="BN119" s="16" t="s">
        <v>48</v>
      </c>
      <c r="BO119" s="16" t="s">
        <v>1283</v>
      </c>
      <c r="BP119" s="16" t="s">
        <v>314</v>
      </c>
      <c r="BQ119" s="16" t="s">
        <v>312</v>
      </c>
      <c r="BR119" s="16" t="s">
        <v>313</v>
      </c>
      <c r="BS119" s="16" t="s">
        <v>43</v>
      </c>
    </row>
    <row r="120" spans="61:71">
      <c r="BI120" s="16">
        <v>119</v>
      </c>
      <c r="BJ120" s="16" t="s">
        <v>1588</v>
      </c>
      <c r="BK120" s="16" t="s">
        <v>46</v>
      </c>
      <c r="BL120" s="16" t="s">
        <v>807</v>
      </c>
      <c r="BM120" s="16" t="s">
        <v>47</v>
      </c>
      <c r="BN120" s="16" t="s">
        <v>48</v>
      </c>
      <c r="BO120" s="16" t="s">
        <v>1308</v>
      </c>
      <c r="BP120" s="16" t="s">
        <v>51</v>
      </c>
      <c r="BQ120" s="16" t="s">
        <v>49</v>
      </c>
      <c r="BR120" s="16" t="s">
        <v>50</v>
      </c>
      <c r="BS120" s="16" t="s">
        <v>43</v>
      </c>
    </row>
    <row r="121" spans="61:71">
      <c r="BI121" s="16">
        <v>120</v>
      </c>
      <c r="BJ121" s="16" t="s">
        <v>1588</v>
      </c>
      <c r="BK121" s="16" t="s">
        <v>46</v>
      </c>
      <c r="BL121" s="16" t="s">
        <v>807</v>
      </c>
      <c r="BM121" s="16" t="s">
        <v>296</v>
      </c>
      <c r="BN121" s="16" t="s">
        <v>297</v>
      </c>
      <c r="BO121" s="16" t="s">
        <v>1309</v>
      </c>
      <c r="BP121" s="16" t="s">
        <v>1310</v>
      </c>
      <c r="BQ121" s="16" t="s">
        <v>298</v>
      </c>
      <c r="BR121" s="16" t="s">
        <v>193</v>
      </c>
      <c r="BS121" s="16" t="s">
        <v>204</v>
      </c>
    </row>
    <row r="122" spans="61:71">
      <c r="BI122" s="16">
        <v>121</v>
      </c>
      <c r="BJ122" s="16" t="s">
        <v>1588</v>
      </c>
      <c r="BK122" s="16" t="s">
        <v>46</v>
      </c>
      <c r="BL122" s="16" t="s">
        <v>807</v>
      </c>
      <c r="BM122" s="16" t="s">
        <v>296</v>
      </c>
      <c r="BN122" s="16" t="s">
        <v>297</v>
      </c>
      <c r="BO122" s="16" t="s">
        <v>1311</v>
      </c>
      <c r="BP122" s="16" t="s">
        <v>299</v>
      </c>
      <c r="BQ122" s="16" t="s">
        <v>298</v>
      </c>
      <c r="BR122" s="16" t="s">
        <v>50</v>
      </c>
      <c r="BS122" s="16" t="s">
        <v>204</v>
      </c>
    </row>
    <row r="123" spans="61:71">
      <c r="BI123" s="16">
        <v>122</v>
      </c>
      <c r="BJ123" s="16" t="s">
        <v>1588</v>
      </c>
      <c r="BK123" s="16" t="s">
        <v>46</v>
      </c>
      <c r="BL123" s="16" t="s">
        <v>807</v>
      </c>
      <c r="BM123" s="16" t="s">
        <v>818</v>
      </c>
      <c r="BN123" s="16" t="s">
        <v>819</v>
      </c>
      <c r="BO123" s="16" t="s">
        <v>1250</v>
      </c>
      <c r="BP123" s="16" t="s">
        <v>41</v>
      </c>
      <c r="BQ123" s="16" t="s">
        <v>39</v>
      </c>
      <c r="BR123" s="16" t="s">
        <v>40</v>
      </c>
      <c r="BS123" s="16" t="s">
        <v>43</v>
      </c>
    </row>
    <row r="124" spans="61:71">
      <c r="BI124" s="16">
        <v>123</v>
      </c>
      <c r="BJ124" s="16" t="s">
        <v>1588</v>
      </c>
      <c r="BK124" s="16" t="s">
        <v>832</v>
      </c>
      <c r="BL124" s="16" t="s">
        <v>833</v>
      </c>
      <c r="BM124" s="16" t="s">
        <v>834</v>
      </c>
      <c r="BN124" s="16" t="s">
        <v>835</v>
      </c>
      <c r="BO124" s="16" t="s">
        <v>1250</v>
      </c>
      <c r="BP124" s="16" t="s">
        <v>41</v>
      </c>
      <c r="BQ124" s="16" t="s">
        <v>39</v>
      </c>
      <c r="BR124" s="16" t="s">
        <v>40</v>
      </c>
      <c r="BS124" s="16" t="s">
        <v>43</v>
      </c>
    </row>
    <row r="125" spans="61:71">
      <c r="BI125" s="16">
        <v>124</v>
      </c>
      <c r="BJ125" s="16" t="s">
        <v>1588</v>
      </c>
      <c r="BK125" s="16" t="s">
        <v>832</v>
      </c>
      <c r="BL125" s="16" t="s">
        <v>833</v>
      </c>
      <c r="BM125" s="16" t="s">
        <v>838</v>
      </c>
      <c r="BN125" s="16" t="s">
        <v>839</v>
      </c>
      <c r="BO125" s="16" t="s">
        <v>1250</v>
      </c>
      <c r="BP125" s="16" t="s">
        <v>41</v>
      </c>
      <c r="BQ125" s="16" t="s">
        <v>39</v>
      </c>
      <c r="BR125" s="16" t="s">
        <v>40</v>
      </c>
      <c r="BS125" s="16" t="s">
        <v>43</v>
      </c>
    </row>
    <row r="126" spans="61:71">
      <c r="BI126" s="16">
        <v>125</v>
      </c>
      <c r="BJ126" s="16" t="s">
        <v>1588</v>
      </c>
      <c r="BK126" s="16" t="s">
        <v>832</v>
      </c>
      <c r="BL126" s="16" t="s">
        <v>833</v>
      </c>
      <c r="BM126" s="16" t="s">
        <v>844</v>
      </c>
      <c r="BN126" s="16" t="s">
        <v>845</v>
      </c>
      <c r="BO126" s="16" t="s">
        <v>1250</v>
      </c>
      <c r="BP126" s="16" t="s">
        <v>41</v>
      </c>
      <c r="BQ126" s="16" t="s">
        <v>39</v>
      </c>
      <c r="BR126" s="16" t="s">
        <v>40</v>
      </c>
      <c r="BS126" s="16" t="s">
        <v>43</v>
      </c>
    </row>
    <row r="127" spans="61:71">
      <c r="BI127" s="16">
        <v>126</v>
      </c>
      <c r="BJ127" s="16" t="s">
        <v>1588</v>
      </c>
      <c r="BK127" s="16" t="s">
        <v>832</v>
      </c>
      <c r="BL127" s="16" t="s">
        <v>833</v>
      </c>
      <c r="BM127" s="16" t="s">
        <v>846</v>
      </c>
      <c r="BN127" s="16" t="s">
        <v>847</v>
      </c>
      <c r="BO127" s="16" t="s">
        <v>1250</v>
      </c>
      <c r="BP127" s="16" t="s">
        <v>41</v>
      </c>
      <c r="BQ127" s="16" t="s">
        <v>39</v>
      </c>
      <c r="BR127" s="16" t="s">
        <v>40</v>
      </c>
      <c r="BS127" s="16" t="s">
        <v>43</v>
      </c>
    </row>
    <row r="128" spans="61:71">
      <c r="BI128" s="16">
        <v>127</v>
      </c>
      <c r="BJ128" s="16" t="s">
        <v>1588</v>
      </c>
      <c r="BK128" s="16" t="s">
        <v>832</v>
      </c>
      <c r="BL128" s="16" t="s">
        <v>833</v>
      </c>
      <c r="BM128" s="16" t="s">
        <v>850</v>
      </c>
      <c r="BN128" s="16" t="s">
        <v>851</v>
      </c>
      <c r="BO128" s="16" t="s">
        <v>1250</v>
      </c>
      <c r="BP128" s="16" t="s">
        <v>41</v>
      </c>
      <c r="BQ128" s="16" t="s">
        <v>39</v>
      </c>
      <c r="BR128" s="16" t="s">
        <v>40</v>
      </c>
      <c r="BS128" s="16" t="s">
        <v>43</v>
      </c>
    </row>
    <row r="129" spans="61:71">
      <c r="BI129" s="16">
        <v>128</v>
      </c>
      <c r="BJ129" s="16" t="s">
        <v>1588</v>
      </c>
      <c r="BK129" s="16" t="s">
        <v>832</v>
      </c>
      <c r="BL129" s="16" t="s">
        <v>833</v>
      </c>
      <c r="BM129" s="16" t="s">
        <v>860</v>
      </c>
      <c r="BN129" s="16" t="s">
        <v>861</v>
      </c>
      <c r="BO129" s="16" t="s">
        <v>1250</v>
      </c>
      <c r="BP129" s="16" t="s">
        <v>41</v>
      </c>
      <c r="BQ129" s="16" t="s">
        <v>39</v>
      </c>
      <c r="BR129" s="16" t="s">
        <v>40</v>
      </c>
      <c r="BS129" s="16" t="s">
        <v>43</v>
      </c>
    </row>
    <row r="130" spans="61:71">
      <c r="BI130" s="16">
        <v>129</v>
      </c>
      <c r="BJ130" s="16" t="s">
        <v>1588</v>
      </c>
      <c r="BK130" s="16" t="s">
        <v>832</v>
      </c>
      <c r="BL130" s="16" t="s">
        <v>833</v>
      </c>
      <c r="BM130" s="16" t="s">
        <v>862</v>
      </c>
      <c r="BN130" s="16" t="s">
        <v>863</v>
      </c>
      <c r="BO130" s="16" t="s">
        <v>1250</v>
      </c>
      <c r="BP130" s="16" t="s">
        <v>41</v>
      </c>
      <c r="BQ130" s="16" t="s">
        <v>39</v>
      </c>
      <c r="BR130" s="16" t="s">
        <v>40</v>
      </c>
      <c r="BS130" s="16" t="s">
        <v>43</v>
      </c>
    </row>
    <row r="131" spans="61:71">
      <c r="BI131" s="16">
        <v>130</v>
      </c>
      <c r="BJ131" s="16" t="s">
        <v>1588</v>
      </c>
      <c r="BK131" s="16" t="s">
        <v>184</v>
      </c>
      <c r="BL131" s="16" t="s">
        <v>185</v>
      </c>
      <c r="BM131" s="16" t="s">
        <v>866</v>
      </c>
      <c r="BN131" s="16" t="s">
        <v>867</v>
      </c>
      <c r="BO131" s="16" t="s">
        <v>1312</v>
      </c>
      <c r="BP131" s="16" t="s">
        <v>188</v>
      </c>
      <c r="BQ131" s="16" t="s">
        <v>186</v>
      </c>
      <c r="BR131" s="16" t="s">
        <v>187</v>
      </c>
      <c r="BS131" s="16" t="s">
        <v>43</v>
      </c>
    </row>
    <row r="132" spans="61:71">
      <c r="BI132" s="16">
        <v>131</v>
      </c>
      <c r="BJ132" s="16" t="s">
        <v>1588</v>
      </c>
      <c r="BK132" s="16" t="s">
        <v>184</v>
      </c>
      <c r="BL132" s="16" t="s">
        <v>185</v>
      </c>
      <c r="BM132" s="16" t="s">
        <v>370</v>
      </c>
      <c r="BN132" s="16" t="s">
        <v>371</v>
      </c>
      <c r="BO132" s="16" t="s">
        <v>1312</v>
      </c>
      <c r="BP132" s="16" t="s">
        <v>188</v>
      </c>
      <c r="BQ132" s="16" t="s">
        <v>186</v>
      </c>
      <c r="BR132" s="16" t="s">
        <v>187</v>
      </c>
      <c r="BS132" s="16" t="s">
        <v>43</v>
      </c>
    </row>
    <row r="133" spans="61:71">
      <c r="BI133" s="16">
        <v>132</v>
      </c>
      <c r="BJ133" s="16" t="s">
        <v>1588</v>
      </c>
      <c r="BK133" s="16" t="s">
        <v>184</v>
      </c>
      <c r="BL133" s="16" t="s">
        <v>185</v>
      </c>
      <c r="BM133" s="16" t="s">
        <v>370</v>
      </c>
      <c r="BN133" s="16" t="s">
        <v>371</v>
      </c>
      <c r="BO133" s="16" t="s">
        <v>1252</v>
      </c>
      <c r="BP133" s="16" t="s">
        <v>367</v>
      </c>
      <c r="BQ133" s="16" t="s">
        <v>103</v>
      </c>
      <c r="BR133" s="16" t="s">
        <v>366</v>
      </c>
      <c r="BS133" s="16" t="s">
        <v>43</v>
      </c>
    </row>
    <row r="134" spans="61:71">
      <c r="BI134" s="16">
        <v>133</v>
      </c>
      <c r="BJ134" s="16" t="s">
        <v>1588</v>
      </c>
      <c r="BK134" s="16" t="s">
        <v>184</v>
      </c>
      <c r="BL134" s="16" t="s">
        <v>185</v>
      </c>
      <c r="BM134" s="16" t="s">
        <v>370</v>
      </c>
      <c r="BN134" s="16" t="s">
        <v>371</v>
      </c>
      <c r="BO134" s="16" t="s">
        <v>1257</v>
      </c>
      <c r="BP134" s="16" t="s">
        <v>358</v>
      </c>
      <c r="BQ134" s="16" t="s">
        <v>356</v>
      </c>
      <c r="BR134" s="16" t="s">
        <v>357</v>
      </c>
      <c r="BS134" s="16" t="s">
        <v>43</v>
      </c>
    </row>
    <row r="135" spans="61:71">
      <c r="BI135" s="16">
        <v>134</v>
      </c>
      <c r="BJ135" s="16" t="s">
        <v>1588</v>
      </c>
      <c r="BK135" s="16" t="s">
        <v>184</v>
      </c>
      <c r="BL135" s="16" t="s">
        <v>185</v>
      </c>
      <c r="BM135" s="16" t="s">
        <v>868</v>
      </c>
      <c r="BN135" s="16" t="s">
        <v>869</v>
      </c>
      <c r="BO135" s="16" t="s">
        <v>1257</v>
      </c>
      <c r="BP135" s="16" t="s">
        <v>358</v>
      </c>
      <c r="BQ135" s="16" t="s">
        <v>356</v>
      </c>
      <c r="BR135" s="16" t="s">
        <v>357</v>
      </c>
      <c r="BS135" s="16" t="s">
        <v>43</v>
      </c>
    </row>
    <row r="136" spans="61:71">
      <c r="BI136" s="16">
        <v>135</v>
      </c>
      <c r="BJ136" s="16" t="s">
        <v>1588</v>
      </c>
      <c r="BK136" s="16" t="s">
        <v>184</v>
      </c>
      <c r="BL136" s="16" t="s">
        <v>185</v>
      </c>
      <c r="BM136" s="16" t="s">
        <v>373</v>
      </c>
      <c r="BN136" s="16" t="s">
        <v>374</v>
      </c>
      <c r="BO136" s="16" t="s">
        <v>1252</v>
      </c>
      <c r="BP136" s="16" t="s">
        <v>367</v>
      </c>
      <c r="BQ136" s="16" t="s">
        <v>103</v>
      </c>
      <c r="BR136" s="16" t="s">
        <v>366</v>
      </c>
      <c r="BS136" s="16" t="s">
        <v>43</v>
      </c>
    </row>
    <row r="137" spans="61:71">
      <c r="BI137" s="16">
        <v>136</v>
      </c>
      <c r="BJ137" s="16" t="s">
        <v>1588</v>
      </c>
      <c r="BK137" s="16" t="s">
        <v>184</v>
      </c>
      <c r="BL137" s="16" t="s">
        <v>185</v>
      </c>
      <c r="BM137" s="16" t="s">
        <v>875</v>
      </c>
      <c r="BN137" s="16" t="s">
        <v>876</v>
      </c>
      <c r="BO137" s="16" t="s">
        <v>1312</v>
      </c>
      <c r="BP137" s="16" t="s">
        <v>188</v>
      </c>
      <c r="BQ137" s="16" t="s">
        <v>186</v>
      </c>
      <c r="BR137" s="16" t="s">
        <v>187</v>
      </c>
      <c r="BS137" s="16" t="s">
        <v>43</v>
      </c>
    </row>
    <row r="138" spans="61:71">
      <c r="BI138" s="16">
        <v>137</v>
      </c>
      <c r="BJ138" s="16" t="s">
        <v>1588</v>
      </c>
      <c r="BK138" s="16" t="s">
        <v>184</v>
      </c>
      <c r="BL138" s="16" t="s">
        <v>185</v>
      </c>
      <c r="BM138" s="16" t="s">
        <v>877</v>
      </c>
      <c r="BN138" s="16" t="s">
        <v>878</v>
      </c>
      <c r="BO138" s="16" t="s">
        <v>1312</v>
      </c>
      <c r="BP138" s="16" t="s">
        <v>188</v>
      </c>
      <c r="BQ138" s="16" t="s">
        <v>186</v>
      </c>
      <c r="BR138" s="16" t="s">
        <v>187</v>
      </c>
      <c r="BS138" s="16" t="s">
        <v>43</v>
      </c>
    </row>
    <row r="139" spans="61:71">
      <c r="BI139" s="16">
        <v>138</v>
      </c>
      <c r="BJ139" s="16" t="s">
        <v>1588</v>
      </c>
      <c r="BK139" s="16" t="s">
        <v>184</v>
      </c>
      <c r="BL139" s="16" t="s">
        <v>185</v>
      </c>
      <c r="BM139" s="16" t="s">
        <v>879</v>
      </c>
      <c r="BN139" s="16" t="s">
        <v>880</v>
      </c>
      <c r="BO139" s="16" t="s">
        <v>1312</v>
      </c>
      <c r="BP139" s="16" t="s">
        <v>188</v>
      </c>
      <c r="BQ139" s="16" t="s">
        <v>186</v>
      </c>
      <c r="BR139" s="16" t="s">
        <v>187</v>
      </c>
      <c r="BS139" s="16" t="s">
        <v>43</v>
      </c>
    </row>
    <row r="140" spans="61:71">
      <c r="BI140" s="16">
        <v>139</v>
      </c>
      <c r="BJ140" s="16" t="s">
        <v>1588</v>
      </c>
      <c r="BK140" s="16" t="s">
        <v>237</v>
      </c>
      <c r="BL140" s="16" t="s">
        <v>238</v>
      </c>
      <c r="BM140" s="16" t="s">
        <v>893</v>
      </c>
      <c r="BN140" s="16" t="s">
        <v>894</v>
      </c>
      <c r="BO140" s="16" t="s">
        <v>1313</v>
      </c>
      <c r="BP140" s="16" t="s">
        <v>241</v>
      </c>
      <c r="BQ140" s="16" t="s">
        <v>239</v>
      </c>
      <c r="BR140" s="16" t="s">
        <v>240</v>
      </c>
      <c r="BS140" s="16" t="s">
        <v>43</v>
      </c>
    </row>
    <row r="141" spans="61:71">
      <c r="BI141" s="16">
        <v>140</v>
      </c>
      <c r="BJ141" s="16" t="s">
        <v>1588</v>
      </c>
      <c r="BK141" s="16" t="s">
        <v>237</v>
      </c>
      <c r="BL141" s="16" t="s">
        <v>238</v>
      </c>
      <c r="BM141" s="16" t="s">
        <v>895</v>
      </c>
      <c r="BN141" s="16" t="s">
        <v>896</v>
      </c>
      <c r="BO141" s="16" t="s">
        <v>1314</v>
      </c>
      <c r="BP141" s="16" t="s">
        <v>1315</v>
      </c>
      <c r="BQ141" s="16" t="s">
        <v>1316</v>
      </c>
      <c r="BR141" s="16" t="s">
        <v>66</v>
      </c>
      <c r="BS141" s="16" t="s">
        <v>43</v>
      </c>
    </row>
    <row r="142" spans="61:71">
      <c r="BI142" s="16">
        <v>141</v>
      </c>
      <c r="BJ142" s="16" t="s">
        <v>1588</v>
      </c>
      <c r="BK142" s="16" t="s">
        <v>237</v>
      </c>
      <c r="BL142" s="16" t="s">
        <v>238</v>
      </c>
      <c r="BM142" s="16" t="s">
        <v>903</v>
      </c>
      <c r="BN142" s="16" t="s">
        <v>904</v>
      </c>
      <c r="BO142" s="16" t="s">
        <v>1254</v>
      </c>
      <c r="BP142" s="16" t="s">
        <v>105</v>
      </c>
      <c r="BQ142" s="16" t="s">
        <v>103</v>
      </c>
      <c r="BR142" s="16" t="s">
        <v>104</v>
      </c>
      <c r="BS142" s="16" t="s">
        <v>43</v>
      </c>
    </row>
    <row r="143" spans="61:71">
      <c r="BI143" s="16">
        <v>142</v>
      </c>
      <c r="BJ143" s="16" t="s">
        <v>1588</v>
      </c>
      <c r="BK143" s="16" t="s">
        <v>320</v>
      </c>
      <c r="BL143" s="16" t="s">
        <v>911</v>
      </c>
      <c r="BM143" s="16" t="s">
        <v>912</v>
      </c>
      <c r="BN143" s="16" t="s">
        <v>913</v>
      </c>
      <c r="BO143" s="16" t="s">
        <v>1250</v>
      </c>
      <c r="BP143" s="16" t="s">
        <v>41</v>
      </c>
      <c r="BQ143" s="16" t="s">
        <v>39</v>
      </c>
      <c r="BR143" s="16" t="s">
        <v>40</v>
      </c>
      <c r="BS143" s="16" t="s">
        <v>43</v>
      </c>
    </row>
    <row r="144" spans="61:71">
      <c r="BI144" s="16">
        <v>143</v>
      </c>
      <c r="BJ144" s="16" t="s">
        <v>1588</v>
      </c>
      <c r="BK144" s="16" t="s">
        <v>320</v>
      </c>
      <c r="BL144" s="16" t="s">
        <v>911</v>
      </c>
      <c r="BM144" s="16" t="s">
        <v>321</v>
      </c>
      <c r="BN144" s="16" t="s">
        <v>322</v>
      </c>
      <c r="BO144" s="16" t="s">
        <v>1283</v>
      </c>
      <c r="BP144" s="16" t="s">
        <v>314</v>
      </c>
      <c r="BQ144" s="16" t="s">
        <v>312</v>
      </c>
      <c r="BR144" s="16" t="s">
        <v>313</v>
      </c>
      <c r="BS144" s="16" t="s">
        <v>43</v>
      </c>
    </row>
    <row r="145" spans="61:71">
      <c r="BI145" s="16">
        <v>144</v>
      </c>
      <c r="BJ145" s="16" t="s">
        <v>1588</v>
      </c>
      <c r="BK145" s="16" t="s">
        <v>320</v>
      </c>
      <c r="BL145" s="16" t="s">
        <v>911</v>
      </c>
      <c r="BM145" s="16" t="s">
        <v>920</v>
      </c>
      <c r="BN145" s="16" t="s">
        <v>921</v>
      </c>
      <c r="BO145" s="16" t="s">
        <v>1250</v>
      </c>
      <c r="BP145" s="16" t="s">
        <v>41</v>
      </c>
      <c r="BQ145" s="16" t="s">
        <v>39</v>
      </c>
      <c r="BR145" s="16" t="s">
        <v>40</v>
      </c>
      <c r="BS145" s="16" t="s">
        <v>43</v>
      </c>
    </row>
    <row r="146" spans="61:71">
      <c r="BI146" s="16">
        <v>145</v>
      </c>
      <c r="BJ146" s="16" t="s">
        <v>1588</v>
      </c>
      <c r="BK146" s="16" t="s">
        <v>320</v>
      </c>
      <c r="BL146" s="16" t="s">
        <v>911</v>
      </c>
      <c r="BM146" s="16" t="s">
        <v>922</v>
      </c>
      <c r="BN146" s="16" t="s">
        <v>923</v>
      </c>
      <c r="BO146" s="16" t="s">
        <v>1250</v>
      </c>
      <c r="BP146" s="16" t="s">
        <v>41</v>
      </c>
      <c r="BQ146" s="16" t="s">
        <v>39</v>
      </c>
      <c r="BR146" s="16" t="s">
        <v>40</v>
      </c>
      <c r="BS146" s="16" t="s">
        <v>43</v>
      </c>
    </row>
    <row r="147" spans="61:71">
      <c r="BI147" s="16">
        <v>146</v>
      </c>
      <c r="BJ147" s="16" t="s">
        <v>1588</v>
      </c>
      <c r="BK147" s="16" t="s">
        <v>320</v>
      </c>
      <c r="BL147" s="16" t="s">
        <v>911</v>
      </c>
      <c r="BM147" s="16" t="s">
        <v>926</v>
      </c>
      <c r="BN147" s="16" t="s">
        <v>927</v>
      </c>
      <c r="BO147" s="16" t="s">
        <v>1250</v>
      </c>
      <c r="BP147" s="16" t="s">
        <v>41</v>
      </c>
      <c r="BQ147" s="16" t="s">
        <v>39</v>
      </c>
      <c r="BR147" s="16" t="s">
        <v>40</v>
      </c>
      <c r="BS147" s="16" t="s">
        <v>43</v>
      </c>
    </row>
    <row r="148" spans="61:71">
      <c r="BI148" s="16">
        <v>147</v>
      </c>
      <c r="BJ148" s="16" t="s">
        <v>1588</v>
      </c>
      <c r="BK148" s="16" t="s">
        <v>320</v>
      </c>
      <c r="BL148" s="16" t="s">
        <v>911</v>
      </c>
      <c r="BM148" s="16" t="s">
        <v>928</v>
      </c>
      <c r="BN148" s="16" t="s">
        <v>929</v>
      </c>
      <c r="BO148" s="16" t="s">
        <v>1250</v>
      </c>
      <c r="BP148" s="16" t="s">
        <v>41</v>
      </c>
      <c r="BQ148" s="16" t="s">
        <v>39</v>
      </c>
      <c r="BR148" s="16" t="s">
        <v>40</v>
      </c>
      <c r="BS148" s="16" t="s">
        <v>43</v>
      </c>
    </row>
    <row r="149" spans="61:71">
      <c r="BI149" s="16">
        <v>148</v>
      </c>
      <c r="BJ149" s="16" t="s">
        <v>1588</v>
      </c>
      <c r="BK149" s="16" t="s">
        <v>320</v>
      </c>
      <c r="BL149" s="16" t="s">
        <v>911</v>
      </c>
      <c r="BM149" s="16" t="s">
        <v>930</v>
      </c>
      <c r="BN149" s="16" t="s">
        <v>931</v>
      </c>
      <c r="BO149" s="16" t="s">
        <v>1250</v>
      </c>
      <c r="BP149" s="16" t="s">
        <v>41</v>
      </c>
      <c r="BQ149" s="16" t="s">
        <v>39</v>
      </c>
      <c r="BR149" s="16" t="s">
        <v>40</v>
      </c>
      <c r="BS149" s="16" t="s">
        <v>43</v>
      </c>
    </row>
    <row r="150" spans="61:71">
      <c r="BI150" s="16">
        <v>149</v>
      </c>
      <c r="BJ150" s="16" t="s">
        <v>1588</v>
      </c>
      <c r="BK150" s="16" t="s">
        <v>170</v>
      </c>
      <c r="BL150" s="16" t="s">
        <v>171</v>
      </c>
      <c r="BM150" s="16" t="s">
        <v>938</v>
      </c>
      <c r="BN150" s="16" t="s">
        <v>939</v>
      </c>
      <c r="BO150" s="16" t="s">
        <v>1317</v>
      </c>
      <c r="BP150" s="16" t="s">
        <v>174</v>
      </c>
      <c r="BQ150" s="16" t="s">
        <v>172</v>
      </c>
      <c r="BR150" s="16" t="s">
        <v>173</v>
      </c>
      <c r="BS150" s="16" t="s">
        <v>43</v>
      </c>
    </row>
    <row r="151" spans="61:71">
      <c r="BI151" s="16">
        <v>150</v>
      </c>
      <c r="BJ151" s="16" t="s">
        <v>1588</v>
      </c>
      <c r="BK151" s="16" t="s">
        <v>956</v>
      </c>
      <c r="BL151" s="16" t="s">
        <v>957</v>
      </c>
      <c r="BM151" s="16" t="s">
        <v>958</v>
      </c>
      <c r="BN151" s="16" t="s">
        <v>959</v>
      </c>
      <c r="BO151" s="16" t="s">
        <v>1250</v>
      </c>
      <c r="BP151" s="16" t="s">
        <v>41</v>
      </c>
      <c r="BQ151" s="16" t="s">
        <v>39</v>
      </c>
      <c r="BR151" s="16" t="s">
        <v>40</v>
      </c>
      <c r="BS151" s="16" t="s">
        <v>43</v>
      </c>
    </row>
    <row r="152" spans="61:71">
      <c r="BI152" s="16">
        <v>151</v>
      </c>
      <c r="BJ152" s="16" t="s">
        <v>1588</v>
      </c>
      <c r="BK152" s="16" t="s">
        <v>956</v>
      </c>
      <c r="BL152" s="16" t="s">
        <v>957</v>
      </c>
      <c r="BM152" s="16" t="s">
        <v>968</v>
      </c>
      <c r="BN152" s="16" t="s">
        <v>969</v>
      </c>
      <c r="BO152" s="16" t="s">
        <v>1250</v>
      </c>
      <c r="BP152" s="16" t="s">
        <v>41</v>
      </c>
      <c r="BQ152" s="16" t="s">
        <v>39</v>
      </c>
      <c r="BR152" s="16" t="s">
        <v>40</v>
      </c>
      <c r="BS152" s="16" t="s">
        <v>43</v>
      </c>
    </row>
    <row r="153" spans="61:71">
      <c r="BI153" s="16">
        <v>152</v>
      </c>
      <c r="BJ153" s="16" t="s">
        <v>1588</v>
      </c>
      <c r="BK153" s="16" t="s">
        <v>956</v>
      </c>
      <c r="BL153" s="16" t="s">
        <v>957</v>
      </c>
      <c r="BM153" s="16" t="s">
        <v>968</v>
      </c>
      <c r="BN153" s="16" t="s">
        <v>969</v>
      </c>
      <c r="BO153" s="16" t="s">
        <v>1260</v>
      </c>
      <c r="BP153" s="16" t="s">
        <v>1261</v>
      </c>
      <c r="BQ153" s="16" t="s">
        <v>1262</v>
      </c>
      <c r="BR153" s="16" t="s">
        <v>40</v>
      </c>
      <c r="BS153" s="16" t="s">
        <v>43</v>
      </c>
    </row>
    <row r="154" spans="61:71">
      <c r="BI154" s="16">
        <v>153</v>
      </c>
      <c r="BJ154" s="16" t="s">
        <v>1588</v>
      </c>
      <c r="BK154" s="16" t="s">
        <v>956</v>
      </c>
      <c r="BL154" s="16" t="s">
        <v>957</v>
      </c>
      <c r="BM154" s="16" t="s">
        <v>970</v>
      </c>
      <c r="BN154" s="16" t="s">
        <v>971</v>
      </c>
      <c r="BO154" s="16" t="s">
        <v>1250</v>
      </c>
      <c r="BP154" s="16" t="s">
        <v>41</v>
      </c>
      <c r="BQ154" s="16" t="s">
        <v>39</v>
      </c>
      <c r="BR154" s="16" t="s">
        <v>40</v>
      </c>
      <c r="BS154" s="16" t="s">
        <v>43</v>
      </c>
    </row>
    <row r="155" spans="61:71">
      <c r="BI155" s="16">
        <v>154</v>
      </c>
      <c r="BJ155" s="16" t="s">
        <v>1588</v>
      </c>
      <c r="BK155" s="16" t="s">
        <v>956</v>
      </c>
      <c r="BL155" s="16" t="s">
        <v>957</v>
      </c>
      <c r="BM155" s="16" t="s">
        <v>972</v>
      </c>
      <c r="BN155" s="16" t="s">
        <v>973</v>
      </c>
      <c r="BO155" s="16" t="s">
        <v>1250</v>
      </c>
      <c r="BP155" s="16" t="s">
        <v>41</v>
      </c>
      <c r="BQ155" s="16" t="s">
        <v>39</v>
      </c>
      <c r="BR155" s="16" t="s">
        <v>40</v>
      </c>
      <c r="BS155" s="16" t="s">
        <v>43</v>
      </c>
    </row>
    <row r="156" spans="61:71">
      <c r="BI156" s="16">
        <v>155</v>
      </c>
      <c r="BJ156" s="16" t="s">
        <v>1588</v>
      </c>
      <c r="BK156" s="16" t="s">
        <v>62</v>
      </c>
      <c r="BL156" s="16" t="s">
        <v>980</v>
      </c>
      <c r="BM156" s="16" t="s">
        <v>376</v>
      </c>
      <c r="BN156" s="16" t="s">
        <v>377</v>
      </c>
      <c r="BO156" s="16" t="s">
        <v>1250</v>
      </c>
      <c r="BP156" s="16" t="s">
        <v>41</v>
      </c>
      <c r="BQ156" s="16" t="s">
        <v>39</v>
      </c>
      <c r="BR156" s="16" t="s">
        <v>40</v>
      </c>
      <c r="BS156" s="16" t="s">
        <v>43</v>
      </c>
    </row>
    <row r="157" spans="61:71">
      <c r="BI157" s="16">
        <v>156</v>
      </c>
      <c r="BJ157" s="16" t="s">
        <v>1588</v>
      </c>
      <c r="BK157" s="16" t="s">
        <v>62</v>
      </c>
      <c r="BL157" s="16" t="s">
        <v>980</v>
      </c>
      <c r="BM157" s="16" t="s">
        <v>376</v>
      </c>
      <c r="BN157" s="16" t="s">
        <v>377</v>
      </c>
      <c r="BO157" s="16" t="s">
        <v>1318</v>
      </c>
      <c r="BP157" s="16" t="s">
        <v>1319</v>
      </c>
      <c r="BQ157" s="16" t="s">
        <v>1320</v>
      </c>
      <c r="BR157" s="16" t="s">
        <v>66</v>
      </c>
      <c r="BS157" s="16" t="s">
        <v>43</v>
      </c>
    </row>
    <row r="158" spans="61:71">
      <c r="BI158" s="16">
        <v>157</v>
      </c>
      <c r="BJ158" s="16" t="s">
        <v>1588</v>
      </c>
      <c r="BK158" s="16" t="s">
        <v>62</v>
      </c>
      <c r="BL158" s="16" t="s">
        <v>980</v>
      </c>
      <c r="BM158" s="16" t="s">
        <v>376</v>
      </c>
      <c r="BN158" s="16" t="s">
        <v>377</v>
      </c>
      <c r="BO158" s="16" t="s">
        <v>1252</v>
      </c>
      <c r="BP158" s="16" t="s">
        <v>367</v>
      </c>
      <c r="BQ158" s="16" t="s">
        <v>103</v>
      </c>
      <c r="BR158" s="16" t="s">
        <v>366</v>
      </c>
      <c r="BS158" s="16" t="s">
        <v>43</v>
      </c>
    </row>
    <row r="159" spans="61:71">
      <c r="BI159" s="16">
        <v>158</v>
      </c>
      <c r="BJ159" s="16" t="s">
        <v>1588</v>
      </c>
      <c r="BK159" s="16" t="s">
        <v>62</v>
      </c>
      <c r="BL159" s="16" t="s">
        <v>980</v>
      </c>
      <c r="BM159" s="16" t="s">
        <v>376</v>
      </c>
      <c r="BN159" s="16" t="s">
        <v>377</v>
      </c>
      <c r="BO159" s="16" t="s">
        <v>1321</v>
      </c>
      <c r="BP159" s="16" t="s">
        <v>412</v>
      </c>
      <c r="BQ159" s="16" t="s">
        <v>411</v>
      </c>
      <c r="BR159" s="16" t="s">
        <v>66</v>
      </c>
      <c r="BS159" s="16" t="s">
        <v>110</v>
      </c>
    </row>
    <row r="160" spans="61:71">
      <c r="BI160" s="16">
        <v>159</v>
      </c>
      <c r="BJ160" s="16" t="s">
        <v>1588</v>
      </c>
      <c r="BK160" s="16" t="s">
        <v>62</v>
      </c>
      <c r="BL160" s="16" t="s">
        <v>980</v>
      </c>
      <c r="BM160" s="16" t="s">
        <v>376</v>
      </c>
      <c r="BN160" s="16" t="s">
        <v>377</v>
      </c>
      <c r="BO160" s="16" t="s">
        <v>1260</v>
      </c>
      <c r="BP160" s="16" t="s">
        <v>1261</v>
      </c>
      <c r="BQ160" s="16" t="s">
        <v>1262</v>
      </c>
      <c r="BR160" s="16" t="s">
        <v>40</v>
      </c>
      <c r="BS160" s="16" t="s">
        <v>43</v>
      </c>
    </row>
    <row r="161" spans="61:71">
      <c r="BI161" s="16">
        <v>160</v>
      </c>
      <c r="BJ161" s="16" t="s">
        <v>1588</v>
      </c>
      <c r="BK161" s="16" t="s">
        <v>62</v>
      </c>
      <c r="BL161" s="16" t="s">
        <v>980</v>
      </c>
      <c r="BM161" s="16" t="s">
        <v>376</v>
      </c>
      <c r="BN161" s="16" t="s">
        <v>377</v>
      </c>
      <c r="BO161" s="16" t="s">
        <v>1257</v>
      </c>
      <c r="BP161" s="16" t="s">
        <v>358</v>
      </c>
      <c r="BQ161" s="16" t="s">
        <v>356</v>
      </c>
      <c r="BR161" s="16" t="s">
        <v>357</v>
      </c>
      <c r="BS161" s="16" t="s">
        <v>43</v>
      </c>
    </row>
    <row r="162" spans="61:71">
      <c r="BI162" s="16">
        <v>161</v>
      </c>
      <c r="BJ162" s="16" t="s">
        <v>1588</v>
      </c>
      <c r="BK162" s="16" t="s">
        <v>62</v>
      </c>
      <c r="BL162" s="16" t="s">
        <v>980</v>
      </c>
      <c r="BM162" s="16" t="s">
        <v>983</v>
      </c>
      <c r="BN162" s="16" t="s">
        <v>984</v>
      </c>
      <c r="BO162" s="16" t="s">
        <v>1260</v>
      </c>
      <c r="BP162" s="16" t="s">
        <v>1261</v>
      </c>
      <c r="BQ162" s="16" t="s">
        <v>1262</v>
      </c>
      <c r="BR162" s="16" t="s">
        <v>40</v>
      </c>
      <c r="BS162" s="16" t="s">
        <v>43</v>
      </c>
    </row>
    <row r="163" spans="61:71">
      <c r="BI163" s="16">
        <v>162</v>
      </c>
      <c r="BJ163" s="16" t="s">
        <v>1588</v>
      </c>
      <c r="BK163" s="16" t="s">
        <v>62</v>
      </c>
      <c r="BL163" s="16" t="s">
        <v>980</v>
      </c>
      <c r="BM163" s="16" t="s">
        <v>985</v>
      </c>
      <c r="BN163" s="16" t="s">
        <v>986</v>
      </c>
      <c r="BO163" s="16" t="s">
        <v>1250</v>
      </c>
      <c r="BP163" s="16" t="s">
        <v>41</v>
      </c>
      <c r="BQ163" s="16" t="s">
        <v>39</v>
      </c>
      <c r="BR163" s="16" t="s">
        <v>40</v>
      </c>
      <c r="BS163" s="16" t="s">
        <v>43</v>
      </c>
    </row>
    <row r="164" spans="61:71">
      <c r="BI164" s="16">
        <v>163</v>
      </c>
      <c r="BJ164" s="16" t="s">
        <v>1588</v>
      </c>
      <c r="BK164" s="16" t="s">
        <v>62</v>
      </c>
      <c r="BL164" s="16" t="s">
        <v>980</v>
      </c>
      <c r="BM164" s="16" t="s">
        <v>985</v>
      </c>
      <c r="BN164" s="16" t="s">
        <v>986</v>
      </c>
      <c r="BO164" s="16" t="s">
        <v>1257</v>
      </c>
      <c r="BP164" s="16" t="s">
        <v>358</v>
      </c>
      <c r="BQ164" s="16" t="s">
        <v>356</v>
      </c>
      <c r="BR164" s="16" t="s">
        <v>357</v>
      </c>
      <c r="BS164" s="16" t="s">
        <v>43</v>
      </c>
    </row>
    <row r="165" spans="61:71">
      <c r="BI165" s="16">
        <v>164</v>
      </c>
      <c r="BJ165" s="16" t="s">
        <v>1588</v>
      </c>
      <c r="BK165" s="16" t="s">
        <v>62</v>
      </c>
      <c r="BL165" s="16" t="s">
        <v>980</v>
      </c>
      <c r="BM165" s="16" t="s">
        <v>989</v>
      </c>
      <c r="BN165" s="16" t="s">
        <v>990</v>
      </c>
      <c r="BO165" s="16" t="s">
        <v>1250</v>
      </c>
      <c r="BP165" s="16" t="s">
        <v>41</v>
      </c>
      <c r="BQ165" s="16" t="s">
        <v>39</v>
      </c>
      <c r="BR165" s="16" t="s">
        <v>40</v>
      </c>
      <c r="BS165" s="16" t="s">
        <v>43</v>
      </c>
    </row>
    <row r="166" spans="61:71">
      <c r="BI166" s="16">
        <v>165</v>
      </c>
      <c r="BJ166" s="16" t="s">
        <v>1588</v>
      </c>
      <c r="BK166" s="16" t="s">
        <v>62</v>
      </c>
      <c r="BL166" s="16" t="s">
        <v>980</v>
      </c>
      <c r="BM166" s="16" t="s">
        <v>856</v>
      </c>
      <c r="BN166" s="16" t="s">
        <v>991</v>
      </c>
      <c r="BO166" s="16" t="s">
        <v>1250</v>
      </c>
      <c r="BP166" s="16" t="s">
        <v>41</v>
      </c>
      <c r="BQ166" s="16" t="s">
        <v>39</v>
      </c>
      <c r="BR166" s="16" t="s">
        <v>40</v>
      </c>
      <c r="BS166" s="16" t="s">
        <v>43</v>
      </c>
    </row>
    <row r="167" spans="61:71">
      <c r="BI167" s="16">
        <v>166</v>
      </c>
      <c r="BJ167" s="16" t="s">
        <v>1588</v>
      </c>
      <c r="BK167" s="16" t="s">
        <v>62</v>
      </c>
      <c r="BL167" s="16" t="s">
        <v>980</v>
      </c>
      <c r="BM167" s="16" t="s">
        <v>856</v>
      </c>
      <c r="BN167" s="16" t="s">
        <v>991</v>
      </c>
      <c r="BO167" s="16" t="s">
        <v>1260</v>
      </c>
      <c r="BP167" s="16" t="s">
        <v>1261</v>
      </c>
      <c r="BQ167" s="16" t="s">
        <v>1262</v>
      </c>
      <c r="BR167" s="16" t="s">
        <v>40</v>
      </c>
      <c r="BS167" s="16" t="s">
        <v>43</v>
      </c>
    </row>
    <row r="168" spans="61:71">
      <c r="BI168" s="16">
        <v>167</v>
      </c>
      <c r="BJ168" s="16" t="s">
        <v>1588</v>
      </c>
      <c r="BK168" s="16" t="s">
        <v>62</v>
      </c>
      <c r="BL168" s="16" t="s">
        <v>980</v>
      </c>
      <c r="BM168" s="16" t="s">
        <v>63</v>
      </c>
      <c r="BN168" s="16" t="s">
        <v>64</v>
      </c>
      <c r="BO168" s="16" t="s">
        <v>1322</v>
      </c>
      <c r="BP168" s="16" t="s">
        <v>67</v>
      </c>
      <c r="BQ168" s="16" t="s">
        <v>65</v>
      </c>
      <c r="BR168" s="16" t="s">
        <v>66</v>
      </c>
      <c r="BS168" s="16" t="s">
        <v>43</v>
      </c>
    </row>
    <row r="169" spans="61:71">
      <c r="BI169" s="16">
        <v>168</v>
      </c>
      <c r="BJ169" s="16" t="s">
        <v>1588</v>
      </c>
      <c r="BK169" s="16" t="s">
        <v>62</v>
      </c>
      <c r="BL169" s="16" t="s">
        <v>980</v>
      </c>
      <c r="BM169" s="16" t="s">
        <v>63</v>
      </c>
      <c r="BN169" s="16" t="s">
        <v>64</v>
      </c>
      <c r="BO169" s="16" t="s">
        <v>1250</v>
      </c>
      <c r="BP169" s="16" t="s">
        <v>41</v>
      </c>
      <c r="BQ169" s="16" t="s">
        <v>39</v>
      </c>
      <c r="BR169" s="16" t="s">
        <v>40</v>
      </c>
      <c r="BS169" s="16" t="s">
        <v>43</v>
      </c>
    </row>
    <row r="170" spans="61:71">
      <c r="BI170" s="16">
        <v>169</v>
      </c>
      <c r="BJ170" s="16" t="s">
        <v>1588</v>
      </c>
      <c r="BK170" s="16" t="s">
        <v>62</v>
      </c>
      <c r="BL170" s="16" t="s">
        <v>980</v>
      </c>
      <c r="BM170" s="16" t="s">
        <v>994</v>
      </c>
      <c r="BN170" s="16" t="s">
        <v>995</v>
      </c>
      <c r="BO170" s="16" t="s">
        <v>1260</v>
      </c>
      <c r="BP170" s="16" t="s">
        <v>1261</v>
      </c>
      <c r="BQ170" s="16" t="s">
        <v>1262</v>
      </c>
      <c r="BR170" s="16" t="s">
        <v>40</v>
      </c>
      <c r="BS170" s="16" t="s">
        <v>43</v>
      </c>
    </row>
    <row r="171" spans="61:71">
      <c r="BI171" s="16">
        <v>170</v>
      </c>
      <c r="BJ171" s="16" t="s">
        <v>1588</v>
      </c>
      <c r="BK171" s="16" t="s">
        <v>62</v>
      </c>
      <c r="BL171" s="16" t="s">
        <v>980</v>
      </c>
      <c r="BM171" s="16" t="s">
        <v>996</v>
      </c>
      <c r="BN171" s="16" t="s">
        <v>997</v>
      </c>
      <c r="BO171" s="16" t="s">
        <v>1250</v>
      </c>
      <c r="BP171" s="16" t="s">
        <v>41</v>
      </c>
      <c r="BQ171" s="16" t="s">
        <v>39</v>
      </c>
      <c r="BR171" s="16" t="s">
        <v>40</v>
      </c>
      <c r="BS171" s="16" t="s">
        <v>43</v>
      </c>
    </row>
    <row r="172" spans="61:71">
      <c r="BI172" s="16">
        <v>171</v>
      </c>
      <c r="BJ172" s="16" t="s">
        <v>1588</v>
      </c>
      <c r="BK172" s="16" t="s">
        <v>62</v>
      </c>
      <c r="BL172" s="16" t="s">
        <v>980</v>
      </c>
      <c r="BM172" s="16" t="s">
        <v>785</v>
      </c>
      <c r="BN172" s="16" t="s">
        <v>1004</v>
      </c>
      <c r="BO172" s="16" t="s">
        <v>1250</v>
      </c>
      <c r="BP172" s="16" t="s">
        <v>41</v>
      </c>
      <c r="BQ172" s="16" t="s">
        <v>39</v>
      </c>
      <c r="BR172" s="16" t="s">
        <v>40</v>
      </c>
      <c r="BS172" s="16" t="s">
        <v>43</v>
      </c>
    </row>
    <row r="173" spans="61:71">
      <c r="BI173" s="16">
        <v>172</v>
      </c>
      <c r="BJ173" s="16" t="s">
        <v>1588</v>
      </c>
      <c r="BK173" s="16" t="s">
        <v>158</v>
      </c>
      <c r="BL173" s="16" t="s">
        <v>1005</v>
      </c>
      <c r="BM173" s="16" t="s">
        <v>1006</v>
      </c>
      <c r="BN173" s="16" t="s">
        <v>1007</v>
      </c>
      <c r="BO173" s="16" t="s">
        <v>1250</v>
      </c>
      <c r="BP173" s="16" t="s">
        <v>41</v>
      </c>
      <c r="BQ173" s="16" t="s">
        <v>39</v>
      </c>
      <c r="BR173" s="16" t="s">
        <v>40</v>
      </c>
      <c r="BS173" s="16" t="s">
        <v>43</v>
      </c>
    </row>
    <row r="174" spans="61:71">
      <c r="BI174" s="16">
        <v>173</v>
      </c>
      <c r="BJ174" s="16" t="s">
        <v>1588</v>
      </c>
      <c r="BK174" s="16" t="s">
        <v>158</v>
      </c>
      <c r="BL174" s="16" t="s">
        <v>1005</v>
      </c>
      <c r="BM174" s="16" t="s">
        <v>159</v>
      </c>
      <c r="BN174" s="16" t="s">
        <v>160</v>
      </c>
      <c r="BO174" s="16" t="s">
        <v>1250</v>
      </c>
      <c r="BP174" s="16" t="s">
        <v>41</v>
      </c>
      <c r="BQ174" s="16" t="s">
        <v>39</v>
      </c>
      <c r="BR174" s="16" t="s">
        <v>40</v>
      </c>
      <c r="BS174" s="16" t="s">
        <v>43</v>
      </c>
    </row>
    <row r="175" spans="61:71">
      <c r="BI175" s="16">
        <v>174</v>
      </c>
      <c r="BJ175" s="16" t="s">
        <v>1588</v>
      </c>
      <c r="BK175" s="16" t="s">
        <v>1028</v>
      </c>
      <c r="BL175" s="16" t="s">
        <v>1029</v>
      </c>
      <c r="BM175" s="16" t="s">
        <v>1030</v>
      </c>
      <c r="BN175" s="16" t="s">
        <v>1031</v>
      </c>
      <c r="BO175" s="16" t="s">
        <v>1250</v>
      </c>
      <c r="BP175" s="16" t="s">
        <v>41</v>
      </c>
      <c r="BQ175" s="16" t="s">
        <v>39</v>
      </c>
      <c r="BR175" s="16" t="s">
        <v>40</v>
      </c>
      <c r="BS175" s="16" t="s">
        <v>43</v>
      </c>
    </row>
    <row r="176" spans="61:71">
      <c r="BI176" s="16">
        <v>175</v>
      </c>
      <c r="BJ176" s="16" t="s">
        <v>1588</v>
      </c>
      <c r="BK176" s="16" t="s">
        <v>1028</v>
      </c>
      <c r="BL176" s="16" t="s">
        <v>1029</v>
      </c>
      <c r="BM176" s="16" t="s">
        <v>1030</v>
      </c>
      <c r="BN176" s="16" t="s">
        <v>1031</v>
      </c>
      <c r="BO176" s="16" t="s">
        <v>1257</v>
      </c>
      <c r="BP176" s="16" t="s">
        <v>358</v>
      </c>
      <c r="BQ176" s="16" t="s">
        <v>356</v>
      </c>
      <c r="BR176" s="16" t="s">
        <v>357</v>
      </c>
      <c r="BS176" s="16" t="s">
        <v>43</v>
      </c>
    </row>
    <row r="177" spans="61:71">
      <c r="BI177" s="16">
        <v>176</v>
      </c>
      <c r="BJ177" s="16" t="s">
        <v>1588</v>
      </c>
      <c r="BK177" s="16" t="s">
        <v>400</v>
      </c>
      <c r="BL177" s="16" t="s">
        <v>401</v>
      </c>
      <c r="BM177" s="16" t="s">
        <v>1064</v>
      </c>
      <c r="BN177" s="16" t="s">
        <v>1065</v>
      </c>
      <c r="BO177" s="16" t="s">
        <v>1250</v>
      </c>
      <c r="BP177" s="16" t="s">
        <v>41</v>
      </c>
      <c r="BQ177" s="16" t="s">
        <v>39</v>
      </c>
      <c r="BR177" s="16" t="s">
        <v>40</v>
      </c>
      <c r="BS177" s="16" t="s">
        <v>43</v>
      </c>
    </row>
    <row r="178" spans="61:71">
      <c r="BI178" s="16">
        <v>177</v>
      </c>
      <c r="BJ178" s="16" t="s">
        <v>1588</v>
      </c>
      <c r="BK178" s="16" t="s">
        <v>400</v>
      </c>
      <c r="BL178" s="16" t="s">
        <v>401</v>
      </c>
      <c r="BM178" s="16" t="s">
        <v>1064</v>
      </c>
      <c r="BN178" s="16" t="s">
        <v>1065</v>
      </c>
      <c r="BO178" s="16" t="s">
        <v>1252</v>
      </c>
      <c r="BP178" s="16" t="s">
        <v>367</v>
      </c>
      <c r="BQ178" s="16" t="s">
        <v>103</v>
      </c>
      <c r="BR178" s="16" t="s">
        <v>366</v>
      </c>
      <c r="BS178" s="16" t="s">
        <v>43</v>
      </c>
    </row>
    <row r="179" spans="61:71">
      <c r="BI179" s="16">
        <v>178</v>
      </c>
      <c r="BJ179" s="16" t="s">
        <v>1588</v>
      </c>
      <c r="BK179" s="16" t="s">
        <v>400</v>
      </c>
      <c r="BL179" s="16" t="s">
        <v>401</v>
      </c>
      <c r="BM179" s="16" t="s">
        <v>1068</v>
      </c>
      <c r="BN179" s="16" t="s">
        <v>1069</v>
      </c>
      <c r="BO179" s="16" t="s">
        <v>1250</v>
      </c>
      <c r="BP179" s="16" t="s">
        <v>41</v>
      </c>
      <c r="BQ179" s="16" t="s">
        <v>39</v>
      </c>
      <c r="BR179" s="16" t="s">
        <v>40</v>
      </c>
      <c r="BS179" s="16" t="s">
        <v>43</v>
      </c>
    </row>
    <row r="180" spans="61:71">
      <c r="BI180" s="16">
        <v>179</v>
      </c>
      <c r="BJ180" s="16" t="s">
        <v>1588</v>
      </c>
      <c r="BK180" s="16" t="s">
        <v>262</v>
      </c>
      <c r="BL180" s="16" t="s">
        <v>1070</v>
      </c>
      <c r="BM180" s="16" t="s">
        <v>325</v>
      </c>
      <c r="BN180" s="16" t="s">
        <v>326</v>
      </c>
      <c r="BO180" s="16" t="s">
        <v>1250</v>
      </c>
      <c r="BP180" s="16" t="s">
        <v>41</v>
      </c>
      <c r="BQ180" s="16" t="s">
        <v>39</v>
      </c>
      <c r="BR180" s="16" t="s">
        <v>40</v>
      </c>
      <c r="BS180" s="16" t="s">
        <v>43</v>
      </c>
    </row>
    <row r="181" spans="61:71">
      <c r="BI181" s="16">
        <v>180</v>
      </c>
      <c r="BJ181" s="16" t="s">
        <v>1588</v>
      </c>
      <c r="BK181" s="16" t="s">
        <v>262</v>
      </c>
      <c r="BL181" s="16" t="s">
        <v>1070</v>
      </c>
      <c r="BM181" s="16" t="s">
        <v>325</v>
      </c>
      <c r="BN181" s="16" t="s">
        <v>326</v>
      </c>
      <c r="BO181" s="16" t="s">
        <v>1254</v>
      </c>
      <c r="BP181" s="16" t="s">
        <v>105</v>
      </c>
      <c r="BQ181" s="16" t="s">
        <v>103</v>
      </c>
      <c r="BR181" s="16" t="s">
        <v>104</v>
      </c>
      <c r="BS181" s="16" t="s">
        <v>43</v>
      </c>
    </row>
    <row r="182" spans="61:71">
      <c r="BI182" s="16">
        <v>181</v>
      </c>
      <c r="BJ182" s="16" t="s">
        <v>1588</v>
      </c>
      <c r="BK182" s="16" t="s">
        <v>262</v>
      </c>
      <c r="BL182" s="16" t="s">
        <v>1070</v>
      </c>
      <c r="BM182" s="16" t="s">
        <v>325</v>
      </c>
      <c r="BN182" s="16" t="s">
        <v>326</v>
      </c>
      <c r="BO182" s="16" t="s">
        <v>1257</v>
      </c>
      <c r="BP182" s="16" t="s">
        <v>358</v>
      </c>
      <c r="BQ182" s="16" t="s">
        <v>356</v>
      </c>
      <c r="BR182" s="16" t="s">
        <v>357</v>
      </c>
      <c r="BS182" s="16" t="s">
        <v>43</v>
      </c>
    </row>
    <row r="183" spans="61:71">
      <c r="BI183" s="16">
        <v>182</v>
      </c>
      <c r="BJ183" s="16" t="s">
        <v>1588</v>
      </c>
      <c r="BK183" s="16" t="s">
        <v>262</v>
      </c>
      <c r="BL183" s="16" t="s">
        <v>1070</v>
      </c>
      <c r="BM183" s="16" t="s">
        <v>325</v>
      </c>
      <c r="BN183" s="16" t="s">
        <v>326</v>
      </c>
      <c r="BO183" s="16" t="s">
        <v>1283</v>
      </c>
      <c r="BP183" s="16" t="s">
        <v>314</v>
      </c>
      <c r="BQ183" s="16" t="s">
        <v>312</v>
      </c>
      <c r="BR183" s="16" t="s">
        <v>313</v>
      </c>
      <c r="BS183" s="16" t="s">
        <v>43</v>
      </c>
    </row>
    <row r="184" spans="61:71">
      <c r="BI184" s="16">
        <v>183</v>
      </c>
      <c r="BJ184" s="16" t="s">
        <v>1588</v>
      </c>
      <c r="BK184" s="16" t="s">
        <v>262</v>
      </c>
      <c r="BL184" s="16" t="s">
        <v>1070</v>
      </c>
      <c r="BM184" s="16" t="s">
        <v>263</v>
      </c>
      <c r="BN184" s="16" t="s">
        <v>264</v>
      </c>
      <c r="BO184" s="16" t="s">
        <v>1323</v>
      </c>
      <c r="BP184" s="16" t="s">
        <v>267</v>
      </c>
      <c r="BQ184" s="16" t="s">
        <v>265</v>
      </c>
      <c r="BR184" s="16" t="s">
        <v>266</v>
      </c>
      <c r="BS184" s="16" t="s">
        <v>110</v>
      </c>
    </row>
    <row r="185" spans="61:71">
      <c r="BI185" s="16">
        <v>184</v>
      </c>
      <c r="BJ185" s="16" t="s">
        <v>1588</v>
      </c>
      <c r="BK185" s="16" t="s">
        <v>379</v>
      </c>
      <c r="BL185" s="16" t="s">
        <v>1093</v>
      </c>
      <c r="BM185" s="16" t="s">
        <v>1094</v>
      </c>
      <c r="BN185" s="16" t="s">
        <v>1095</v>
      </c>
      <c r="BO185" s="16" t="s">
        <v>1250</v>
      </c>
      <c r="BP185" s="16" t="s">
        <v>41</v>
      </c>
      <c r="BQ185" s="16" t="s">
        <v>39</v>
      </c>
      <c r="BR185" s="16" t="s">
        <v>40</v>
      </c>
      <c r="BS185" s="16" t="s">
        <v>43</v>
      </c>
    </row>
    <row r="186" spans="61:71">
      <c r="BI186" s="16">
        <v>185</v>
      </c>
      <c r="BJ186" s="16" t="s">
        <v>1588</v>
      </c>
      <c r="BK186" s="16" t="s">
        <v>379</v>
      </c>
      <c r="BL186" s="16" t="s">
        <v>1093</v>
      </c>
      <c r="BM186" s="16" t="s">
        <v>380</v>
      </c>
      <c r="BN186" s="16" t="s">
        <v>381</v>
      </c>
      <c r="BO186" s="16" t="s">
        <v>1250</v>
      </c>
      <c r="BP186" s="16" t="s">
        <v>41</v>
      </c>
      <c r="BQ186" s="16" t="s">
        <v>39</v>
      </c>
      <c r="BR186" s="16" t="s">
        <v>40</v>
      </c>
      <c r="BS186" s="16" t="s">
        <v>43</v>
      </c>
    </row>
    <row r="187" spans="61:71">
      <c r="BI187" s="16">
        <v>186</v>
      </c>
      <c r="BJ187" s="16" t="s">
        <v>1588</v>
      </c>
      <c r="BK187" s="16" t="s">
        <v>379</v>
      </c>
      <c r="BL187" s="16" t="s">
        <v>1093</v>
      </c>
      <c r="BM187" s="16" t="s">
        <v>380</v>
      </c>
      <c r="BN187" s="16" t="s">
        <v>381</v>
      </c>
      <c r="BO187" s="16" t="s">
        <v>1252</v>
      </c>
      <c r="BP187" s="16" t="s">
        <v>367</v>
      </c>
      <c r="BQ187" s="16" t="s">
        <v>103</v>
      </c>
      <c r="BR187" s="16" t="s">
        <v>366</v>
      </c>
      <c r="BS187" s="16" t="s">
        <v>43</v>
      </c>
    </row>
    <row r="188" spans="61:71">
      <c r="BI188" s="16">
        <v>187</v>
      </c>
      <c r="BJ188" s="16" t="s">
        <v>1588</v>
      </c>
      <c r="BK188" s="16" t="s">
        <v>379</v>
      </c>
      <c r="BL188" s="16" t="s">
        <v>1093</v>
      </c>
      <c r="BM188" s="16" t="s">
        <v>1096</v>
      </c>
      <c r="BN188" s="16" t="s">
        <v>1097</v>
      </c>
      <c r="BO188" s="16" t="s">
        <v>1250</v>
      </c>
      <c r="BP188" s="16" t="s">
        <v>41</v>
      </c>
      <c r="BQ188" s="16" t="s">
        <v>39</v>
      </c>
      <c r="BR188" s="16" t="s">
        <v>40</v>
      </c>
      <c r="BS188" s="16" t="s">
        <v>43</v>
      </c>
    </row>
    <row r="189" spans="61:71">
      <c r="BI189" s="16">
        <v>188</v>
      </c>
      <c r="BJ189" s="16" t="s">
        <v>1588</v>
      </c>
      <c r="BK189" s="16" t="s">
        <v>379</v>
      </c>
      <c r="BL189" s="16" t="s">
        <v>1093</v>
      </c>
      <c r="BM189" s="16" t="s">
        <v>1106</v>
      </c>
      <c r="BN189" s="16" t="s">
        <v>1107</v>
      </c>
      <c r="BO189" s="16" t="s">
        <v>1250</v>
      </c>
      <c r="BP189" s="16" t="s">
        <v>41</v>
      </c>
      <c r="BQ189" s="16" t="s">
        <v>39</v>
      </c>
      <c r="BR189" s="16" t="s">
        <v>40</v>
      </c>
      <c r="BS189" s="16" t="s">
        <v>43</v>
      </c>
    </row>
    <row r="190" spans="61:71">
      <c r="BI190" s="16">
        <v>189</v>
      </c>
      <c r="BJ190" s="16" t="s">
        <v>1588</v>
      </c>
      <c r="BK190" s="16" t="s">
        <v>379</v>
      </c>
      <c r="BL190" s="16" t="s">
        <v>1093</v>
      </c>
      <c r="BM190" s="16" t="s">
        <v>1110</v>
      </c>
      <c r="BN190" s="16" t="s">
        <v>1111</v>
      </c>
      <c r="BO190" s="16" t="s">
        <v>1250</v>
      </c>
      <c r="BP190" s="16" t="s">
        <v>41</v>
      </c>
      <c r="BQ190" s="16" t="s">
        <v>39</v>
      </c>
      <c r="BR190" s="16" t="s">
        <v>40</v>
      </c>
      <c r="BS190" s="16" t="s">
        <v>43</v>
      </c>
    </row>
    <row r="191" spans="61:71">
      <c r="BI191" s="16">
        <v>190</v>
      </c>
      <c r="BJ191" s="16" t="s">
        <v>1588</v>
      </c>
      <c r="BK191" s="16" t="s">
        <v>379</v>
      </c>
      <c r="BL191" s="16" t="s">
        <v>1093</v>
      </c>
      <c r="BM191" s="16" t="s">
        <v>1116</v>
      </c>
      <c r="BN191" s="16" t="s">
        <v>1117</v>
      </c>
      <c r="BO191" s="16" t="s">
        <v>1250</v>
      </c>
      <c r="BP191" s="16" t="s">
        <v>41</v>
      </c>
      <c r="BQ191" s="16" t="s">
        <v>39</v>
      </c>
      <c r="BR191" s="16" t="s">
        <v>40</v>
      </c>
      <c r="BS191" s="16" t="s">
        <v>43</v>
      </c>
    </row>
    <row r="192" spans="61:71">
      <c r="BI192" s="16">
        <v>191</v>
      </c>
      <c r="BJ192" s="16" t="s">
        <v>1588</v>
      </c>
      <c r="BK192" s="16" t="s">
        <v>379</v>
      </c>
      <c r="BL192" s="16" t="s">
        <v>1093</v>
      </c>
      <c r="BM192" s="16" t="s">
        <v>1120</v>
      </c>
      <c r="BN192" s="16" t="s">
        <v>1121</v>
      </c>
      <c r="BO192" s="16" t="s">
        <v>1260</v>
      </c>
      <c r="BP192" s="16" t="s">
        <v>1261</v>
      </c>
      <c r="BQ192" s="16" t="s">
        <v>1262</v>
      </c>
      <c r="BR192" s="16" t="s">
        <v>40</v>
      </c>
      <c r="BS192" s="16" t="s">
        <v>43</v>
      </c>
    </row>
    <row r="193" spans="61:71">
      <c r="BI193" s="16">
        <v>192</v>
      </c>
      <c r="BJ193" s="16" t="s">
        <v>1588</v>
      </c>
      <c r="BK193" s="16" t="s">
        <v>1122</v>
      </c>
      <c r="BL193" s="16" t="s">
        <v>1123</v>
      </c>
      <c r="BM193" s="16" t="s">
        <v>1124</v>
      </c>
      <c r="BN193" s="16" t="s">
        <v>1125</v>
      </c>
      <c r="BO193" s="16" t="s">
        <v>1250</v>
      </c>
      <c r="BP193" s="16" t="s">
        <v>41</v>
      </c>
      <c r="BQ193" s="16" t="s">
        <v>39</v>
      </c>
      <c r="BR193" s="16" t="s">
        <v>40</v>
      </c>
      <c r="BS193" s="16" t="s">
        <v>43</v>
      </c>
    </row>
    <row r="194" spans="61:71">
      <c r="BI194" s="16">
        <v>193</v>
      </c>
      <c r="BJ194" s="16" t="s">
        <v>1588</v>
      </c>
      <c r="BK194" s="16" t="s">
        <v>1122</v>
      </c>
      <c r="BL194" s="16" t="s">
        <v>1123</v>
      </c>
      <c r="BM194" s="16" t="s">
        <v>1126</v>
      </c>
      <c r="BN194" s="16" t="s">
        <v>1127</v>
      </c>
      <c r="BO194" s="16" t="s">
        <v>1250</v>
      </c>
      <c r="BP194" s="16" t="s">
        <v>41</v>
      </c>
      <c r="BQ194" s="16" t="s">
        <v>39</v>
      </c>
      <c r="BR194" s="16" t="s">
        <v>40</v>
      </c>
      <c r="BS194" s="16" t="s">
        <v>43</v>
      </c>
    </row>
    <row r="195" spans="61:71">
      <c r="BI195" s="16">
        <v>194</v>
      </c>
      <c r="BJ195" s="16" t="s">
        <v>1588</v>
      </c>
      <c r="BK195" s="16" t="s">
        <v>1122</v>
      </c>
      <c r="BL195" s="16" t="s">
        <v>1123</v>
      </c>
      <c r="BM195" s="16" t="s">
        <v>1126</v>
      </c>
      <c r="BN195" s="16" t="s">
        <v>1127</v>
      </c>
      <c r="BO195" s="16" t="s">
        <v>1257</v>
      </c>
      <c r="BP195" s="16" t="s">
        <v>358</v>
      </c>
      <c r="BQ195" s="16" t="s">
        <v>356</v>
      </c>
      <c r="BR195" s="16" t="s">
        <v>357</v>
      </c>
      <c r="BS195" s="16" t="s">
        <v>43</v>
      </c>
    </row>
    <row r="196" spans="61:71">
      <c r="BI196" s="16">
        <v>195</v>
      </c>
      <c r="BJ196" s="16" t="s">
        <v>1588</v>
      </c>
      <c r="BK196" s="16" t="s">
        <v>1122</v>
      </c>
      <c r="BL196" s="16" t="s">
        <v>1123</v>
      </c>
      <c r="BM196" s="16" t="s">
        <v>1136</v>
      </c>
      <c r="BN196" s="16" t="s">
        <v>1137</v>
      </c>
      <c r="BO196" s="16" t="s">
        <v>1250</v>
      </c>
      <c r="BP196" s="16" t="s">
        <v>41</v>
      </c>
      <c r="BQ196" s="16" t="s">
        <v>39</v>
      </c>
      <c r="BR196" s="16" t="s">
        <v>40</v>
      </c>
      <c r="BS196" s="16" t="s">
        <v>43</v>
      </c>
    </row>
    <row r="197" spans="61:71">
      <c r="BI197" s="16">
        <v>196</v>
      </c>
      <c r="BJ197" s="16" t="s">
        <v>1588</v>
      </c>
      <c r="BK197" s="16" t="s">
        <v>1122</v>
      </c>
      <c r="BL197" s="16" t="s">
        <v>1123</v>
      </c>
      <c r="BM197" s="16" t="s">
        <v>1136</v>
      </c>
      <c r="BN197" s="16" t="s">
        <v>1137</v>
      </c>
      <c r="BO197" s="16" t="s">
        <v>1257</v>
      </c>
      <c r="BP197" s="16" t="s">
        <v>358</v>
      </c>
      <c r="BQ197" s="16" t="s">
        <v>356</v>
      </c>
      <c r="BR197" s="16" t="s">
        <v>357</v>
      </c>
      <c r="BS197" s="16" t="s">
        <v>43</v>
      </c>
    </row>
    <row r="198" spans="61:71">
      <c r="BI198" s="16">
        <v>197</v>
      </c>
      <c r="BJ198" s="16" t="s">
        <v>1588</v>
      </c>
      <c r="BK198" s="16" t="s">
        <v>245</v>
      </c>
      <c r="BL198" s="16" t="s">
        <v>246</v>
      </c>
      <c r="BM198" s="16" t="s">
        <v>1150</v>
      </c>
      <c r="BN198" s="16" t="s">
        <v>1151</v>
      </c>
      <c r="BO198" s="16" t="s">
        <v>1324</v>
      </c>
      <c r="BP198" s="16" t="s">
        <v>249</v>
      </c>
      <c r="BQ198" s="16" t="s">
        <v>247</v>
      </c>
      <c r="BR198" s="16" t="s">
        <v>248</v>
      </c>
      <c r="BS198" s="16" t="s">
        <v>43</v>
      </c>
    </row>
    <row r="199" spans="61:71">
      <c r="BI199" s="16">
        <v>198</v>
      </c>
      <c r="BJ199" s="16" t="s">
        <v>1588</v>
      </c>
      <c r="BK199" s="16" t="s">
        <v>245</v>
      </c>
      <c r="BL199" s="16" t="s">
        <v>246</v>
      </c>
      <c r="BM199" s="16" t="s">
        <v>1150</v>
      </c>
      <c r="BN199" s="16" t="s">
        <v>1151</v>
      </c>
      <c r="BO199" s="16" t="s">
        <v>1254</v>
      </c>
      <c r="BP199" s="16" t="s">
        <v>105</v>
      </c>
      <c r="BQ199" s="16" t="s">
        <v>103</v>
      </c>
      <c r="BR199" s="16" t="s">
        <v>104</v>
      </c>
      <c r="BS199" s="16" t="s">
        <v>43</v>
      </c>
    </row>
    <row r="200" spans="61:71">
      <c r="BI200" s="16">
        <v>199</v>
      </c>
      <c r="BJ200" s="16" t="s">
        <v>1588</v>
      </c>
      <c r="BK200" s="16" t="s">
        <v>1152</v>
      </c>
      <c r="BL200" s="16" t="s">
        <v>1153</v>
      </c>
      <c r="BM200" s="16" t="s">
        <v>1156</v>
      </c>
      <c r="BN200" s="16" t="s">
        <v>1157</v>
      </c>
      <c r="BO200" s="16" t="s">
        <v>1250</v>
      </c>
      <c r="BP200" s="16" t="s">
        <v>41</v>
      </c>
      <c r="BQ200" s="16" t="s">
        <v>39</v>
      </c>
      <c r="BR200" s="16" t="s">
        <v>40</v>
      </c>
      <c r="BS200" s="16" t="s">
        <v>43</v>
      </c>
    </row>
    <row r="201" spans="61:71">
      <c r="BI201" s="16">
        <v>200</v>
      </c>
      <c r="BJ201" s="16" t="s">
        <v>1588</v>
      </c>
      <c r="BK201" s="16" t="s">
        <v>1152</v>
      </c>
      <c r="BL201" s="16" t="s">
        <v>1153</v>
      </c>
      <c r="BM201" s="16" t="s">
        <v>1156</v>
      </c>
      <c r="BN201" s="16" t="s">
        <v>1157</v>
      </c>
      <c r="BO201" s="16" t="s">
        <v>1260</v>
      </c>
      <c r="BP201" s="16" t="s">
        <v>1261</v>
      </c>
      <c r="BQ201" s="16" t="s">
        <v>1262</v>
      </c>
      <c r="BR201" s="16" t="s">
        <v>40</v>
      </c>
      <c r="BS201" s="16" t="s">
        <v>43</v>
      </c>
    </row>
    <row r="202" spans="61:71">
      <c r="BI202" s="16">
        <v>201</v>
      </c>
      <c r="BJ202" s="16" t="s">
        <v>1588</v>
      </c>
      <c r="BK202" s="16" t="s">
        <v>1152</v>
      </c>
      <c r="BL202" s="16" t="s">
        <v>1153</v>
      </c>
      <c r="BM202" s="16" t="s">
        <v>1160</v>
      </c>
      <c r="BN202" s="16" t="s">
        <v>1161</v>
      </c>
      <c r="BO202" s="16" t="s">
        <v>1250</v>
      </c>
      <c r="BP202" s="16" t="s">
        <v>41</v>
      </c>
      <c r="BQ202" s="16" t="s">
        <v>39</v>
      </c>
      <c r="BR202" s="16" t="s">
        <v>40</v>
      </c>
      <c r="BS202" s="16" t="s">
        <v>43</v>
      </c>
    </row>
    <row r="203" spans="61:71">
      <c r="BI203" s="16">
        <v>202</v>
      </c>
      <c r="BJ203" s="16" t="s">
        <v>1588</v>
      </c>
      <c r="BK203" s="16" t="s">
        <v>77</v>
      </c>
      <c r="BL203" s="16" t="s">
        <v>78</v>
      </c>
      <c r="BM203" s="16" t="s">
        <v>386</v>
      </c>
      <c r="BN203" s="16" t="s">
        <v>387</v>
      </c>
      <c r="BO203" s="16" t="s">
        <v>1325</v>
      </c>
      <c r="BP203" s="16" t="s">
        <v>81</v>
      </c>
      <c r="BQ203" s="16" t="s">
        <v>79</v>
      </c>
      <c r="BR203" s="16" t="s">
        <v>80</v>
      </c>
      <c r="BS203" s="16" t="s">
        <v>43</v>
      </c>
    </row>
    <row r="204" spans="61:71">
      <c r="BI204" s="16">
        <v>203</v>
      </c>
      <c r="BJ204" s="16" t="s">
        <v>1588</v>
      </c>
      <c r="BK204" s="16" t="s">
        <v>77</v>
      </c>
      <c r="BL204" s="16" t="s">
        <v>78</v>
      </c>
      <c r="BM204" s="16" t="s">
        <v>386</v>
      </c>
      <c r="BN204" s="16" t="s">
        <v>387</v>
      </c>
      <c r="BO204" s="16" t="s">
        <v>1252</v>
      </c>
      <c r="BP204" s="16" t="s">
        <v>367</v>
      </c>
      <c r="BQ204" s="16" t="s">
        <v>103</v>
      </c>
      <c r="BR204" s="16" t="s">
        <v>366</v>
      </c>
      <c r="BS204" s="16" t="s">
        <v>43</v>
      </c>
    </row>
    <row r="205" spans="61:71">
      <c r="BI205" s="16">
        <v>204</v>
      </c>
      <c r="BJ205" s="16" t="s">
        <v>1588</v>
      </c>
      <c r="BK205" s="16" t="s">
        <v>1185</v>
      </c>
      <c r="BL205" s="16" t="s">
        <v>1186</v>
      </c>
      <c r="BM205" s="16" t="s">
        <v>1189</v>
      </c>
      <c r="BN205" s="16" t="s">
        <v>1190</v>
      </c>
      <c r="BO205" s="16" t="s">
        <v>1250</v>
      </c>
      <c r="BP205" s="16" t="s">
        <v>41</v>
      </c>
      <c r="BQ205" s="16" t="s">
        <v>39</v>
      </c>
      <c r="BR205" s="16" t="s">
        <v>40</v>
      </c>
      <c r="BS205" s="16" t="s">
        <v>43</v>
      </c>
    </row>
    <row r="206" spans="61:71">
      <c r="BI206" s="16">
        <v>205</v>
      </c>
      <c r="BJ206" s="16" t="s">
        <v>1588</v>
      </c>
      <c r="BK206" s="16" t="s">
        <v>1185</v>
      </c>
      <c r="BL206" s="16" t="s">
        <v>1186</v>
      </c>
      <c r="BM206" s="16" t="s">
        <v>1191</v>
      </c>
      <c r="BN206" s="16" t="s">
        <v>1192</v>
      </c>
      <c r="BO206" s="16" t="s">
        <v>1250</v>
      </c>
      <c r="BP206" s="16" t="s">
        <v>41</v>
      </c>
      <c r="BQ206" s="16" t="s">
        <v>39</v>
      </c>
      <c r="BR206" s="16" t="s">
        <v>40</v>
      </c>
      <c r="BS206" s="16" t="s">
        <v>43</v>
      </c>
    </row>
    <row r="207" spans="61:71">
      <c r="BI207" s="16">
        <v>206</v>
      </c>
      <c r="BJ207" s="16" t="s">
        <v>1588</v>
      </c>
      <c r="BK207" s="16" t="s">
        <v>1185</v>
      </c>
      <c r="BL207" s="16" t="s">
        <v>1186</v>
      </c>
      <c r="BM207" s="16" t="s">
        <v>658</v>
      </c>
      <c r="BN207" s="16" t="s">
        <v>1195</v>
      </c>
      <c r="BO207" s="16" t="s">
        <v>1250</v>
      </c>
      <c r="BP207" s="16" t="s">
        <v>41</v>
      </c>
      <c r="BQ207" s="16" t="s">
        <v>39</v>
      </c>
      <c r="BR207" s="16" t="s">
        <v>40</v>
      </c>
      <c r="BS207" s="16" t="s">
        <v>43</v>
      </c>
    </row>
    <row r="208" spans="61:71">
      <c r="BI208" s="16">
        <v>207</v>
      </c>
      <c r="BJ208" s="16" t="s">
        <v>1588</v>
      </c>
      <c r="BO208" s="16" t="s">
        <v>1257</v>
      </c>
      <c r="BP208" s="16" t="s">
        <v>358</v>
      </c>
      <c r="BQ208" s="16" t="s">
        <v>356</v>
      </c>
      <c r="BR208" s="16" t="s">
        <v>357</v>
      </c>
      <c r="BS208" s="16" t="s">
        <v>43</v>
      </c>
    </row>
    <row r="209" spans="61:71">
      <c r="BI209" s="16">
        <v>208</v>
      </c>
      <c r="BJ209" s="16" t="s">
        <v>1588</v>
      </c>
      <c r="BO209" s="16" t="s">
        <v>1326</v>
      </c>
      <c r="BP209" s="16" t="s">
        <v>1327</v>
      </c>
      <c r="BQ209" s="16" t="s">
        <v>103</v>
      </c>
      <c r="BR209" s="16" t="s">
        <v>1328</v>
      </c>
      <c r="BS209" s="16" t="s">
        <v>43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FUEL_DATA_REGION">
    <tabColor indexed="47"/>
  </sheetPr>
  <dimension ref="A1:DS94"/>
  <sheetViews>
    <sheetView workbookViewId="0"/>
  </sheetViews>
  <sheetFormatPr defaultRowHeight="9.75" customHeight="1"/>
  <cols>
    <col min="1" max="16384" width="9.140625" style="16"/>
  </cols>
  <sheetData>
    <row r="1" spans="1:123" ht="9.75" customHeight="1">
      <c r="A1" s="16" t="s">
        <v>1633</v>
      </c>
      <c r="B1" s="16" t="s">
        <v>1719</v>
      </c>
      <c r="C1" s="16" t="s">
        <v>1623</v>
      </c>
      <c r="D1" s="16" t="s">
        <v>1624</v>
      </c>
      <c r="E1" s="16" t="s">
        <v>1625</v>
      </c>
      <c r="F1" s="16" t="s">
        <v>1627</v>
      </c>
      <c r="G1" s="16" t="s">
        <v>1618</v>
      </c>
      <c r="H1" s="16" t="s">
        <v>1626</v>
      </c>
      <c r="I1" s="16" t="s">
        <v>1766</v>
      </c>
      <c r="J1" s="16" t="s">
        <v>1628</v>
      </c>
      <c r="K1" s="16" t="s">
        <v>1670</v>
      </c>
      <c r="L1" s="16" t="s">
        <v>1629</v>
      </c>
      <c r="M1" s="16" t="s">
        <v>1634</v>
      </c>
      <c r="N1" s="16" t="s">
        <v>1740</v>
      </c>
      <c r="O1" s="16" t="s">
        <v>1756</v>
      </c>
      <c r="P1" s="16" t="s">
        <v>1723</v>
      </c>
      <c r="Q1" s="16" t="s">
        <v>1635</v>
      </c>
      <c r="R1" s="16" t="s">
        <v>1720</v>
      </c>
      <c r="S1" s="16" t="s">
        <v>1396</v>
      </c>
      <c r="T1" s="16" t="s">
        <v>1711</v>
      </c>
      <c r="U1" s="16" t="s">
        <v>1397</v>
      </c>
      <c r="V1" s="16" t="s">
        <v>1710</v>
      </c>
      <c r="W1" s="16" t="s">
        <v>1398</v>
      </c>
      <c r="X1" s="16" t="s">
        <v>1712</v>
      </c>
      <c r="Y1" s="16" t="s">
        <v>1399</v>
      </c>
      <c r="Z1" s="16" t="s">
        <v>1400</v>
      </c>
      <c r="AA1" s="16" t="s">
        <v>1401</v>
      </c>
      <c r="AB1" s="16" t="s">
        <v>1402</v>
      </c>
      <c r="AC1" s="16" t="s">
        <v>1403</v>
      </c>
      <c r="AD1" s="16" t="s">
        <v>1404</v>
      </c>
      <c r="AE1" s="16" t="s">
        <v>1405</v>
      </c>
      <c r="AF1" s="16" t="s">
        <v>1406</v>
      </c>
      <c r="AG1" s="16" t="s">
        <v>1407</v>
      </c>
      <c r="AH1" s="16" t="s">
        <v>1408</v>
      </c>
      <c r="AI1" s="16" t="s">
        <v>1409</v>
      </c>
      <c r="AJ1" s="16" t="s">
        <v>1410</v>
      </c>
      <c r="AK1" s="16" t="s">
        <v>1411</v>
      </c>
      <c r="AL1" s="16" t="s">
        <v>1412</v>
      </c>
      <c r="AM1" s="16" t="s">
        <v>1413</v>
      </c>
      <c r="AN1" s="16" t="s">
        <v>1414</v>
      </c>
      <c r="AO1" s="16" t="s">
        <v>1415</v>
      </c>
      <c r="AP1" s="16" t="s">
        <v>1416</v>
      </c>
      <c r="AQ1" s="16" t="s">
        <v>1417</v>
      </c>
      <c r="AR1" s="16" t="s">
        <v>1418</v>
      </c>
      <c r="AS1" s="16" t="s">
        <v>1419</v>
      </c>
      <c r="AT1" s="16" t="s">
        <v>1420</v>
      </c>
      <c r="AU1" s="16" t="s">
        <v>1421</v>
      </c>
      <c r="AV1" s="16" t="s">
        <v>1422</v>
      </c>
      <c r="AW1" s="16" t="s">
        <v>1423</v>
      </c>
      <c r="AX1" s="16" t="s">
        <v>1424</v>
      </c>
      <c r="AY1" s="16" t="s">
        <v>1425</v>
      </c>
      <c r="AZ1" s="16" t="s">
        <v>1426</v>
      </c>
      <c r="BA1" s="16" t="s">
        <v>1427</v>
      </c>
      <c r="BB1" s="16" t="s">
        <v>1714</v>
      </c>
      <c r="BC1" s="16" t="s">
        <v>1428</v>
      </c>
      <c r="BD1" s="16" t="s">
        <v>1713</v>
      </c>
      <c r="BE1" s="16" t="s">
        <v>1429</v>
      </c>
      <c r="BF1" s="16" t="s">
        <v>1715</v>
      </c>
      <c r="BG1" s="16" t="s">
        <v>1743</v>
      </c>
      <c r="BH1" s="16" t="s">
        <v>1430</v>
      </c>
      <c r="BI1" s="16" t="s">
        <v>1431</v>
      </c>
      <c r="BJ1" s="16" t="s">
        <v>1432</v>
      </c>
      <c r="BK1" s="16" t="s">
        <v>1433</v>
      </c>
      <c r="BL1" s="16" t="s">
        <v>1434</v>
      </c>
      <c r="BM1" s="16" t="s">
        <v>1435</v>
      </c>
      <c r="BN1" s="16" t="s">
        <v>1436</v>
      </c>
      <c r="BO1" s="16" t="s">
        <v>1437</v>
      </c>
      <c r="BP1" s="16" t="s">
        <v>1438</v>
      </c>
      <c r="BQ1" s="16" t="s">
        <v>1439</v>
      </c>
      <c r="BR1" s="16" t="s">
        <v>1440</v>
      </c>
      <c r="BS1" s="16" t="s">
        <v>1441</v>
      </c>
      <c r="BT1" s="16" t="s">
        <v>1442</v>
      </c>
      <c r="BU1" s="16" t="s">
        <v>1443</v>
      </c>
      <c r="BV1" s="16" t="s">
        <v>1444</v>
      </c>
      <c r="BW1" s="16" t="s">
        <v>1445</v>
      </c>
      <c r="BX1" s="16" t="s">
        <v>1446</v>
      </c>
      <c r="BY1" s="16" t="s">
        <v>1447</v>
      </c>
      <c r="BZ1" s="16" t="s">
        <v>1448</v>
      </c>
      <c r="CA1" s="16" t="s">
        <v>1449</v>
      </c>
      <c r="CB1" s="16" t="s">
        <v>1450</v>
      </c>
      <c r="CC1" s="16" t="s">
        <v>1451</v>
      </c>
      <c r="CD1" s="16" t="s">
        <v>1452</v>
      </c>
      <c r="CE1" s="16" t="s">
        <v>1453</v>
      </c>
      <c r="CF1" s="16" t="s">
        <v>1454</v>
      </c>
      <c r="CG1" s="16" t="s">
        <v>1455</v>
      </c>
      <c r="CH1" s="16" t="s">
        <v>1456</v>
      </c>
      <c r="CI1" s="16" t="s">
        <v>1457</v>
      </c>
      <c r="CJ1" s="16" t="s">
        <v>1717</v>
      </c>
      <c r="CK1" s="16" t="s">
        <v>1458</v>
      </c>
      <c r="CL1" s="16" t="s">
        <v>1716</v>
      </c>
      <c r="CM1" s="16" t="s">
        <v>1459</v>
      </c>
      <c r="CN1" s="16" t="s">
        <v>1718</v>
      </c>
      <c r="CO1" s="16" t="s">
        <v>1460</v>
      </c>
      <c r="CP1" s="16" t="s">
        <v>1461</v>
      </c>
      <c r="CQ1" s="16" t="s">
        <v>1462</v>
      </c>
      <c r="CR1" s="16" t="s">
        <v>1463</v>
      </c>
      <c r="CS1" s="16" t="s">
        <v>1464</v>
      </c>
      <c r="CT1" s="16" t="s">
        <v>1465</v>
      </c>
      <c r="CU1" s="16" t="s">
        <v>1466</v>
      </c>
      <c r="CV1" s="16" t="s">
        <v>1467</v>
      </c>
      <c r="CW1" s="16" t="s">
        <v>1468</v>
      </c>
      <c r="CX1" s="16" t="s">
        <v>1469</v>
      </c>
      <c r="CY1" s="16" t="s">
        <v>1470</v>
      </c>
      <c r="CZ1" s="16" t="s">
        <v>1471</v>
      </c>
      <c r="DA1" s="16" t="s">
        <v>1472</v>
      </c>
      <c r="DB1" s="16" t="s">
        <v>1473</v>
      </c>
      <c r="DC1" s="16" t="s">
        <v>1474</v>
      </c>
      <c r="DD1" s="16" t="s">
        <v>1475</v>
      </c>
      <c r="DE1" s="16" t="s">
        <v>1476</v>
      </c>
      <c r="DF1" s="16" t="s">
        <v>1477</v>
      </c>
      <c r="DG1" s="16" t="s">
        <v>1478</v>
      </c>
      <c r="DH1" s="16" t="s">
        <v>1479</v>
      </c>
      <c r="DI1" s="16" t="s">
        <v>1480</v>
      </c>
      <c r="DJ1" s="16" t="s">
        <v>1481</v>
      </c>
      <c r="DK1" s="16" t="s">
        <v>1482</v>
      </c>
      <c r="DL1" s="16" t="s">
        <v>1483</v>
      </c>
      <c r="DM1" s="16" t="s">
        <v>1484</v>
      </c>
      <c r="DN1" s="16" t="s">
        <v>1485</v>
      </c>
      <c r="DO1" s="16" t="s">
        <v>1486</v>
      </c>
      <c r="DP1" s="16" t="s">
        <v>1487</v>
      </c>
      <c r="DQ1" s="16" t="s">
        <v>1490</v>
      </c>
      <c r="DR1" s="16" t="s">
        <v>1489</v>
      </c>
      <c r="DS1" s="16" t="s">
        <v>1488</v>
      </c>
    </row>
    <row r="2" spans="1:123" ht="9.75" customHeight="1">
      <c r="A2" s="16" t="s">
        <v>36</v>
      </c>
      <c r="B2" s="16" t="s">
        <v>438</v>
      </c>
      <c r="C2" s="16" t="s">
        <v>37</v>
      </c>
      <c r="D2" s="16" t="s">
        <v>37</v>
      </c>
      <c r="E2" s="16" t="s">
        <v>38</v>
      </c>
      <c r="F2" s="16" t="s">
        <v>39</v>
      </c>
      <c r="G2" s="16" t="s">
        <v>40</v>
      </c>
      <c r="H2" s="16" t="s">
        <v>41</v>
      </c>
      <c r="I2" s="16" t="s">
        <v>1758</v>
      </c>
      <c r="K2" s="16" t="s">
        <v>42</v>
      </c>
      <c r="L2" s="16" t="s">
        <v>43</v>
      </c>
      <c r="M2" s="16" t="s">
        <v>1540</v>
      </c>
      <c r="P2" s="16" t="s">
        <v>44</v>
      </c>
      <c r="Q2" s="16" t="s">
        <v>1524</v>
      </c>
      <c r="R2" s="16" t="s">
        <v>1650</v>
      </c>
      <c r="S2" s="16">
        <v>5245.88</v>
      </c>
      <c r="T2" s="16">
        <v>5245.88</v>
      </c>
      <c r="U2" s="16">
        <v>6009.21</v>
      </c>
      <c r="V2" s="16">
        <v>6009.21</v>
      </c>
      <c r="W2" s="16">
        <v>5225.3999999999996</v>
      </c>
      <c r="X2" s="16">
        <v>5225.3999999999996</v>
      </c>
      <c r="Y2" s="16">
        <v>194.322</v>
      </c>
      <c r="Z2" s="16">
        <v>1.1499999999999999</v>
      </c>
      <c r="AA2" s="16">
        <v>223.47030000000001</v>
      </c>
      <c r="AB2" s="16">
        <v>1167.72170562</v>
      </c>
      <c r="AC2" s="16">
        <v>1167.72170562</v>
      </c>
      <c r="BA2" s="16">
        <v>5245.88</v>
      </c>
      <c r="BB2" s="16">
        <v>5245.88</v>
      </c>
      <c r="BC2" s="16">
        <v>6009.21</v>
      </c>
      <c r="BD2" s="16">
        <v>6009.21</v>
      </c>
      <c r="BE2" s="16">
        <v>5225.3999999999996</v>
      </c>
      <c r="BF2" s="16">
        <v>5225.3999999999996</v>
      </c>
      <c r="BG2" s="16">
        <v>194.322</v>
      </c>
      <c r="BH2" s="16">
        <v>1.1499999999999999</v>
      </c>
      <c r="BI2" s="16">
        <v>223.47030000000001</v>
      </c>
      <c r="BJ2" s="16">
        <v>1167.72170562</v>
      </c>
      <c r="BK2" s="16">
        <v>1167.72170562</v>
      </c>
      <c r="CI2" s="16">
        <v>5245.88</v>
      </c>
      <c r="CJ2" s="16">
        <v>5245.88</v>
      </c>
      <c r="CK2" s="16">
        <v>6009.21</v>
      </c>
      <c r="CL2" s="16">
        <v>6009.21</v>
      </c>
      <c r="CM2" s="16">
        <v>5225.3999999999996</v>
      </c>
      <c r="CN2" s="16">
        <v>5225.3999999999996</v>
      </c>
      <c r="CO2" s="16">
        <v>194.322</v>
      </c>
      <c r="CP2" s="16">
        <v>1.1499999999999999</v>
      </c>
      <c r="CQ2" s="16">
        <v>223.47030000000001</v>
      </c>
      <c r="CR2" s="16">
        <v>1167.72170562</v>
      </c>
      <c r="CS2" s="16">
        <v>1167.72170562</v>
      </c>
    </row>
    <row r="3" spans="1:123" ht="9.75" customHeight="1">
      <c r="A3" s="16" t="s">
        <v>45</v>
      </c>
      <c r="B3" s="16" t="s">
        <v>439</v>
      </c>
      <c r="C3" s="16" t="s">
        <v>46</v>
      </c>
      <c r="D3" s="16" t="s">
        <v>47</v>
      </c>
      <c r="E3" s="16" t="s">
        <v>48</v>
      </c>
      <c r="F3" s="16" t="s">
        <v>49</v>
      </c>
      <c r="G3" s="16" t="s">
        <v>50</v>
      </c>
      <c r="H3" s="16" t="s">
        <v>51</v>
      </c>
      <c r="I3" s="16" t="s">
        <v>1758</v>
      </c>
      <c r="J3" s="16" t="s">
        <v>52</v>
      </c>
      <c r="K3" s="16" t="s">
        <v>53</v>
      </c>
      <c r="L3" s="16" t="s">
        <v>43</v>
      </c>
      <c r="M3" s="16" t="s">
        <v>1539</v>
      </c>
      <c r="Q3" s="16" t="s">
        <v>1524</v>
      </c>
      <c r="R3" s="16" t="s">
        <v>1650</v>
      </c>
      <c r="S3" s="16">
        <v>4149</v>
      </c>
      <c r="T3" s="16">
        <v>4895.82</v>
      </c>
      <c r="U3" s="16">
        <v>4149</v>
      </c>
      <c r="V3" s="16">
        <v>4895.82</v>
      </c>
      <c r="W3" s="16">
        <v>3508.3713850836998</v>
      </c>
      <c r="X3" s="16">
        <v>4139.8782343987996</v>
      </c>
      <c r="Y3" s="16">
        <v>498.90699999999998</v>
      </c>
      <c r="Z3" s="16">
        <v>1.1826000000000001</v>
      </c>
      <c r="AA3" s="16">
        <v>590.00741819999996</v>
      </c>
      <c r="AB3" s="16">
        <v>2069.9651429999999</v>
      </c>
      <c r="AC3" s="16">
        <v>2442.55886874</v>
      </c>
      <c r="BA3" s="16">
        <v>4149</v>
      </c>
      <c r="BB3" s="16">
        <v>4895.82</v>
      </c>
      <c r="BC3" s="16">
        <v>4149</v>
      </c>
      <c r="BD3" s="16">
        <v>4895.82</v>
      </c>
      <c r="BE3" s="16">
        <v>3508.3713850836998</v>
      </c>
      <c r="BF3" s="16">
        <v>4139.8782343987996</v>
      </c>
      <c r="BG3" s="16">
        <v>498.90699999999998</v>
      </c>
      <c r="BH3" s="16">
        <v>1.1826000000000001</v>
      </c>
      <c r="BI3" s="16">
        <v>590.00741819999996</v>
      </c>
      <c r="BJ3" s="16">
        <v>2069.9651429999999</v>
      </c>
      <c r="BK3" s="16">
        <v>2442.55886874</v>
      </c>
      <c r="CI3" s="16">
        <v>4149</v>
      </c>
      <c r="CJ3" s="16">
        <v>4895.82</v>
      </c>
      <c r="CK3" s="16">
        <v>4149</v>
      </c>
      <c r="CL3" s="16">
        <v>4895.82</v>
      </c>
      <c r="CM3" s="16">
        <v>3507.2859236866998</v>
      </c>
      <c r="CN3" s="16">
        <v>4138.5973899503997</v>
      </c>
      <c r="CO3" s="16">
        <v>426.83300000000003</v>
      </c>
      <c r="CP3" s="16">
        <v>1.182966</v>
      </c>
      <c r="CQ3" s="16">
        <v>504.92892667799998</v>
      </c>
      <c r="CR3" s="16">
        <v>1770.9301170000001</v>
      </c>
      <c r="CS3" s="16">
        <v>2089.6975380600002</v>
      </c>
    </row>
    <row r="4" spans="1:123" ht="9.75" customHeight="1">
      <c r="A4" s="16" t="s">
        <v>54</v>
      </c>
      <c r="B4" s="16" t="s">
        <v>440</v>
      </c>
      <c r="C4" s="16" t="s">
        <v>55</v>
      </c>
      <c r="D4" s="16" t="s">
        <v>55</v>
      </c>
      <c r="E4" s="16" t="s">
        <v>56</v>
      </c>
      <c r="F4" s="16" t="s">
        <v>57</v>
      </c>
      <c r="G4" s="16" t="s">
        <v>58</v>
      </c>
      <c r="H4" s="16" t="s">
        <v>59</v>
      </c>
      <c r="I4" s="16" t="s">
        <v>1758</v>
      </c>
      <c r="L4" s="16" t="s">
        <v>60</v>
      </c>
      <c r="M4" s="16" t="s">
        <v>1540</v>
      </c>
      <c r="Q4" s="16" t="s">
        <v>1524</v>
      </c>
      <c r="R4" s="16" t="s">
        <v>1650</v>
      </c>
      <c r="S4" s="16">
        <v>5746.58</v>
      </c>
      <c r="T4" s="16">
        <v>5746.58</v>
      </c>
      <c r="U4" s="16">
        <v>6508.53</v>
      </c>
      <c r="V4" s="16">
        <v>6508.53</v>
      </c>
      <c r="W4" s="16">
        <v>5709.2368421052997</v>
      </c>
      <c r="X4" s="16">
        <v>5709.2368421052997</v>
      </c>
      <c r="Y4" s="16">
        <v>31.13</v>
      </c>
      <c r="Z4" s="16">
        <v>1.1399999999999999</v>
      </c>
      <c r="AA4" s="16">
        <v>35.488199999999999</v>
      </c>
      <c r="AB4" s="16">
        <v>202.61053889999999</v>
      </c>
      <c r="AC4" s="16">
        <v>202.61053889999999</v>
      </c>
      <c r="BA4" s="16">
        <v>5744.25</v>
      </c>
      <c r="BB4" s="16">
        <v>5744.25</v>
      </c>
      <c r="BC4" s="16">
        <v>6506.39</v>
      </c>
      <c r="BD4" s="16">
        <v>6506.39</v>
      </c>
      <c r="BE4" s="16">
        <v>5582.0092656142997</v>
      </c>
      <c r="BF4" s="16">
        <v>5582.0092656142997</v>
      </c>
      <c r="BG4" s="16">
        <v>29.341000000000001</v>
      </c>
      <c r="BH4" s="16">
        <v>1.1656</v>
      </c>
      <c r="BI4" s="16">
        <v>34.1998696</v>
      </c>
      <c r="BJ4" s="16">
        <v>190.90398898999999</v>
      </c>
      <c r="BK4" s="16">
        <v>190.90398898999999</v>
      </c>
      <c r="CI4" s="16">
        <v>5716.67</v>
      </c>
      <c r="CJ4" s="16">
        <v>5716.67</v>
      </c>
      <c r="CK4" s="16">
        <v>6477.82</v>
      </c>
      <c r="CL4" s="16">
        <v>6477.82</v>
      </c>
      <c r="CM4" s="16">
        <v>5574.7160068846997</v>
      </c>
      <c r="CN4" s="16">
        <v>5574.7160068846997</v>
      </c>
      <c r="CO4" s="16">
        <v>22.57</v>
      </c>
      <c r="CP4" s="16">
        <v>1.1619999999999999</v>
      </c>
      <c r="CQ4" s="16">
        <v>26.22634</v>
      </c>
      <c r="CR4" s="16">
        <v>146.2043974</v>
      </c>
      <c r="CS4" s="16">
        <v>146.2043974</v>
      </c>
    </row>
    <row r="5" spans="1:123" ht="9.75" customHeight="1">
      <c r="A5" s="16" t="s">
        <v>61</v>
      </c>
      <c r="B5" s="16" t="s">
        <v>441</v>
      </c>
      <c r="C5" s="16" t="s">
        <v>62</v>
      </c>
      <c r="D5" s="16" t="s">
        <v>63</v>
      </c>
      <c r="E5" s="16" t="s">
        <v>64</v>
      </c>
      <c r="F5" s="16" t="s">
        <v>65</v>
      </c>
      <c r="G5" s="16" t="s">
        <v>66</v>
      </c>
      <c r="H5" s="16" t="s">
        <v>67</v>
      </c>
      <c r="I5" s="16" t="s">
        <v>1758</v>
      </c>
      <c r="K5" s="16" t="s">
        <v>68</v>
      </c>
      <c r="L5" s="16" t="s">
        <v>43</v>
      </c>
      <c r="M5" s="16" t="s">
        <v>1539</v>
      </c>
      <c r="Q5" s="16" t="s">
        <v>1524</v>
      </c>
      <c r="R5" s="16" t="s">
        <v>1650</v>
      </c>
      <c r="S5" s="16">
        <v>4459.1099999999997</v>
      </c>
      <c r="T5" s="16">
        <v>5261.7497999999996</v>
      </c>
      <c r="U5" s="16">
        <v>5105.62</v>
      </c>
      <c r="V5" s="16">
        <v>6024.6315999999997</v>
      </c>
      <c r="W5" s="16">
        <v>4439.6695652174003</v>
      </c>
      <c r="X5" s="16">
        <v>5238.8100869564996</v>
      </c>
      <c r="Y5" s="16">
        <v>294.36</v>
      </c>
      <c r="Z5" s="16">
        <v>1.1499999999999999</v>
      </c>
      <c r="AA5" s="16">
        <v>338.51400000000001</v>
      </c>
      <c r="AB5" s="16">
        <v>1502.8903032000001</v>
      </c>
      <c r="AC5" s="16">
        <v>1773.4105577759999</v>
      </c>
      <c r="BA5" s="16">
        <v>4456.9399999999996</v>
      </c>
      <c r="BB5" s="16">
        <v>5259.1891999999998</v>
      </c>
      <c r="BC5" s="16">
        <v>5103.83</v>
      </c>
      <c r="BD5" s="16">
        <v>6022.5194000000001</v>
      </c>
      <c r="BE5" s="16">
        <v>4438.1130434782999</v>
      </c>
      <c r="BF5" s="16">
        <v>5236.9733913044001</v>
      </c>
      <c r="BG5" s="16">
        <v>274.88</v>
      </c>
      <c r="BH5" s="16">
        <v>1.1499999999999999</v>
      </c>
      <c r="BI5" s="16">
        <v>316.11200000000002</v>
      </c>
      <c r="BJ5" s="16">
        <v>1402.9407904</v>
      </c>
      <c r="BK5" s="16">
        <v>1655.4701326720001</v>
      </c>
      <c r="CI5" s="16">
        <v>4437.7780000000002</v>
      </c>
      <c r="CJ5" s="16">
        <v>5236.5780400000003</v>
      </c>
      <c r="CK5" s="16">
        <v>5084.6670000000004</v>
      </c>
      <c r="CL5" s="16">
        <v>5999.9070599999995</v>
      </c>
      <c r="CM5" s="16">
        <v>4421.4495652174</v>
      </c>
      <c r="CN5" s="16">
        <v>5217.3104869565004</v>
      </c>
      <c r="CO5" s="16">
        <v>158.755</v>
      </c>
      <c r="CP5" s="16">
        <v>1.1499999999999999</v>
      </c>
      <c r="CQ5" s="16">
        <v>182.56825000000001</v>
      </c>
      <c r="CR5" s="16">
        <v>807.21630958499998</v>
      </c>
      <c r="CS5" s="16">
        <v>952.51524531029997</v>
      </c>
    </row>
    <row r="6" spans="1:123" ht="9.75" customHeight="1">
      <c r="A6" s="16" t="s">
        <v>69</v>
      </c>
      <c r="B6" s="16" t="s">
        <v>442</v>
      </c>
      <c r="C6" s="16" t="s">
        <v>70</v>
      </c>
      <c r="D6" s="16" t="s">
        <v>70</v>
      </c>
      <c r="E6" s="16" t="s">
        <v>71</v>
      </c>
      <c r="F6" s="16" t="s">
        <v>72</v>
      </c>
      <c r="G6" s="16" t="s">
        <v>73</v>
      </c>
      <c r="H6" s="16" t="s">
        <v>74</v>
      </c>
      <c r="I6" s="16" t="s">
        <v>1758</v>
      </c>
      <c r="K6" s="16" t="s">
        <v>75</v>
      </c>
      <c r="L6" s="16" t="s">
        <v>43</v>
      </c>
      <c r="M6" s="16" t="s">
        <v>1539</v>
      </c>
      <c r="Q6" s="16" t="s">
        <v>1524</v>
      </c>
      <c r="R6" s="16" t="s">
        <v>1650</v>
      </c>
      <c r="S6" s="16">
        <v>4430</v>
      </c>
      <c r="T6" s="16">
        <v>5227.3999999999996</v>
      </c>
      <c r="U6" s="16">
        <v>5090</v>
      </c>
      <c r="V6" s="16">
        <v>6006.2</v>
      </c>
      <c r="W6" s="16">
        <v>4426.0869565216999</v>
      </c>
      <c r="X6" s="16">
        <v>5222.7826086957002</v>
      </c>
      <c r="Y6" s="16">
        <v>164.83</v>
      </c>
      <c r="Z6" s="16">
        <v>1.1499999999999999</v>
      </c>
      <c r="AA6" s="16">
        <v>189.55449999999999</v>
      </c>
      <c r="AB6" s="16">
        <v>838.98469999999998</v>
      </c>
      <c r="AC6" s="16">
        <v>990.00194599999998</v>
      </c>
      <c r="BA6" s="16">
        <v>4420</v>
      </c>
      <c r="BB6" s="16">
        <v>5215.6000000000004</v>
      </c>
      <c r="BC6" s="16">
        <v>5114</v>
      </c>
      <c r="BD6" s="16">
        <v>6034.52</v>
      </c>
      <c r="BE6" s="16">
        <v>4446.9565217391</v>
      </c>
      <c r="BF6" s="16">
        <v>5247.4086956521996</v>
      </c>
      <c r="BG6" s="16">
        <v>139.88999999999999</v>
      </c>
      <c r="BH6" s="16">
        <v>1.1499999999999999</v>
      </c>
      <c r="BI6" s="16">
        <v>160.87350000000001</v>
      </c>
      <c r="BJ6" s="16">
        <v>715.39746000000002</v>
      </c>
      <c r="BK6" s="16">
        <v>844.16900280000004</v>
      </c>
      <c r="CI6" s="16">
        <v>4750</v>
      </c>
      <c r="CJ6" s="16">
        <v>5605</v>
      </c>
      <c r="CK6" s="16">
        <v>5530</v>
      </c>
      <c r="CL6" s="16">
        <v>6525.4</v>
      </c>
      <c r="CM6" s="16">
        <v>4808.6956521739003</v>
      </c>
      <c r="CN6" s="16">
        <v>5674.2608695651998</v>
      </c>
      <c r="CO6" s="16">
        <v>89.484999999999999</v>
      </c>
      <c r="CP6" s="16">
        <v>1.1499999999999999</v>
      </c>
      <c r="CQ6" s="16">
        <v>102.90774999999999</v>
      </c>
      <c r="CR6" s="16">
        <v>494.85205000000002</v>
      </c>
      <c r="CS6" s="16">
        <v>583.92541900000003</v>
      </c>
    </row>
    <row r="7" spans="1:123" ht="9.75" customHeight="1">
      <c r="A7" s="16" t="s">
        <v>76</v>
      </c>
      <c r="B7" s="16" t="s">
        <v>443</v>
      </c>
      <c r="C7" s="16" t="s">
        <v>77</v>
      </c>
      <c r="D7" s="16" t="s">
        <v>77</v>
      </c>
      <c r="E7" s="16" t="s">
        <v>78</v>
      </c>
      <c r="F7" s="16" t="s">
        <v>79</v>
      </c>
      <c r="G7" s="16" t="s">
        <v>80</v>
      </c>
      <c r="H7" s="16" t="s">
        <v>81</v>
      </c>
      <c r="I7" s="16" t="s">
        <v>1758</v>
      </c>
      <c r="K7" s="16" t="s">
        <v>82</v>
      </c>
      <c r="L7" s="16" t="s">
        <v>43</v>
      </c>
      <c r="M7" s="16" t="s">
        <v>1540</v>
      </c>
      <c r="P7" s="16" t="s">
        <v>83</v>
      </c>
      <c r="Q7" s="16" t="s">
        <v>1524</v>
      </c>
      <c r="R7" s="16" t="s">
        <v>1650</v>
      </c>
      <c r="S7" s="16">
        <v>5503</v>
      </c>
      <c r="T7" s="16">
        <v>5503</v>
      </c>
      <c r="U7" s="16">
        <v>6308</v>
      </c>
      <c r="V7" s="16">
        <v>6308</v>
      </c>
      <c r="W7" s="16">
        <v>5485.2173913043998</v>
      </c>
      <c r="X7" s="16">
        <v>5485.2173913043998</v>
      </c>
      <c r="Y7" s="16">
        <v>1065.4000000000001</v>
      </c>
      <c r="Z7" s="16">
        <v>1.1499999999999999</v>
      </c>
      <c r="AA7" s="16">
        <v>1225.21</v>
      </c>
      <c r="AB7" s="16">
        <v>6720.5432000000001</v>
      </c>
      <c r="AC7" s="16">
        <v>6720.5432000000001</v>
      </c>
      <c r="BA7" s="16">
        <v>5503</v>
      </c>
      <c r="BB7" s="16">
        <v>5503</v>
      </c>
      <c r="BC7" s="16">
        <v>6308</v>
      </c>
      <c r="BD7" s="16">
        <v>6308</v>
      </c>
      <c r="BE7" s="16">
        <v>5485.2173913043998</v>
      </c>
      <c r="BF7" s="16">
        <v>5485.2173913043998</v>
      </c>
      <c r="BG7" s="16">
        <v>1065.4000000000001</v>
      </c>
      <c r="BH7" s="16">
        <v>1.1499999999999999</v>
      </c>
      <c r="BI7" s="16">
        <v>1225.21</v>
      </c>
      <c r="BJ7" s="16">
        <v>6720.5432000000001</v>
      </c>
      <c r="BK7" s="16">
        <v>6720.5432000000001</v>
      </c>
      <c r="CI7" s="16">
        <v>4966</v>
      </c>
      <c r="CJ7" s="16">
        <v>4966</v>
      </c>
      <c r="CK7" s="16">
        <v>5691</v>
      </c>
      <c r="CL7" s="16">
        <v>5691</v>
      </c>
      <c r="CM7" s="16">
        <v>4948.6956521739003</v>
      </c>
      <c r="CN7" s="16">
        <v>4948.6956521739003</v>
      </c>
      <c r="CO7" s="16">
        <v>961.76599999999996</v>
      </c>
      <c r="CP7" s="16">
        <v>1.1499999999999999</v>
      </c>
      <c r="CQ7" s="16">
        <v>1106.0309</v>
      </c>
      <c r="CR7" s="16">
        <v>5473.4103059999998</v>
      </c>
      <c r="CS7" s="16">
        <v>5473.4103059999998</v>
      </c>
    </row>
    <row r="8" spans="1:123" ht="9.75" customHeight="1">
      <c r="A8" s="16" t="s">
        <v>84</v>
      </c>
      <c r="B8" s="16" t="s">
        <v>444</v>
      </c>
      <c r="C8" s="16" t="s">
        <v>85</v>
      </c>
      <c r="D8" s="16" t="s">
        <v>85</v>
      </c>
      <c r="E8" s="16" t="s">
        <v>86</v>
      </c>
      <c r="F8" s="16" t="s">
        <v>87</v>
      </c>
      <c r="G8" s="16" t="s">
        <v>88</v>
      </c>
      <c r="H8" s="16" t="s">
        <v>89</v>
      </c>
      <c r="I8" s="16" t="s">
        <v>1758</v>
      </c>
      <c r="K8" s="16" t="s">
        <v>90</v>
      </c>
      <c r="L8" s="16" t="s">
        <v>43</v>
      </c>
      <c r="M8" s="16" t="s">
        <v>1539</v>
      </c>
      <c r="Q8" s="16" t="s">
        <v>1524</v>
      </c>
      <c r="R8" s="16" t="s">
        <v>1650</v>
      </c>
      <c r="S8" s="16">
        <v>4425.51</v>
      </c>
      <c r="T8" s="16">
        <v>5222.1018000000004</v>
      </c>
      <c r="U8" s="16">
        <v>4927.96</v>
      </c>
      <c r="V8" s="16">
        <v>5814.9928</v>
      </c>
      <c r="W8" s="16">
        <v>4211.9316239316004</v>
      </c>
      <c r="X8" s="16">
        <v>4970.0793162393002</v>
      </c>
      <c r="Y8" s="16">
        <v>45784.04</v>
      </c>
      <c r="Z8" s="16">
        <v>1.17</v>
      </c>
      <c r="AA8" s="16">
        <v>53567.326800000003</v>
      </c>
      <c r="AB8" s="16">
        <v>225621.9177584</v>
      </c>
      <c r="AC8" s="16">
        <v>266233.86295491201</v>
      </c>
      <c r="BA8" s="16">
        <v>4423.3500000000004</v>
      </c>
      <c r="BB8" s="16">
        <v>5219.5529999999999</v>
      </c>
      <c r="BC8" s="16">
        <v>4926.07</v>
      </c>
      <c r="BD8" s="16">
        <v>5812.7626</v>
      </c>
      <c r="BE8" s="16">
        <v>4193.4706733634002</v>
      </c>
      <c r="BF8" s="16">
        <v>4948.2953945687996</v>
      </c>
      <c r="BG8" s="16">
        <v>41791.286</v>
      </c>
      <c r="BH8" s="16">
        <v>1.1747000000000001</v>
      </c>
      <c r="BI8" s="16">
        <v>49092.223664199999</v>
      </c>
      <c r="BJ8" s="16">
        <v>205866.80022601999</v>
      </c>
      <c r="BK8" s="16">
        <v>242922.824266704</v>
      </c>
      <c r="CI8" s="16">
        <v>4406.26</v>
      </c>
      <c r="CJ8" s="16">
        <v>5199.3868000000002</v>
      </c>
      <c r="CK8" s="16">
        <v>4908.5600000000004</v>
      </c>
      <c r="CL8" s="16">
        <v>5792.1008000000002</v>
      </c>
      <c r="CM8" s="16">
        <v>4213.7179157009004</v>
      </c>
      <c r="CN8" s="16">
        <v>4972.1871405271004</v>
      </c>
      <c r="CO8" s="16">
        <v>33116.478999999999</v>
      </c>
      <c r="CP8" s="16">
        <v>1.1649</v>
      </c>
      <c r="CQ8" s="16">
        <v>38577.386387099999</v>
      </c>
      <c r="CR8" s="16">
        <v>162554.22416024</v>
      </c>
      <c r="CS8" s="16">
        <v>191813.98450908301</v>
      </c>
    </row>
    <row r="9" spans="1:123" ht="9.75" customHeight="1">
      <c r="A9" s="16" t="s">
        <v>91</v>
      </c>
      <c r="B9" s="16" t="s">
        <v>445</v>
      </c>
      <c r="C9" s="16" t="s">
        <v>85</v>
      </c>
      <c r="D9" s="16" t="s">
        <v>85</v>
      </c>
      <c r="E9" s="16" t="s">
        <v>86</v>
      </c>
      <c r="F9" s="16" t="s">
        <v>92</v>
      </c>
      <c r="G9" s="16" t="s">
        <v>88</v>
      </c>
      <c r="H9" s="16" t="s">
        <v>93</v>
      </c>
      <c r="I9" s="16" t="s">
        <v>1758</v>
      </c>
      <c r="K9" s="16" t="s">
        <v>94</v>
      </c>
      <c r="L9" s="16" t="s">
        <v>43</v>
      </c>
      <c r="M9" s="16" t="s">
        <v>1539</v>
      </c>
      <c r="Q9" s="16" t="s">
        <v>1524</v>
      </c>
      <c r="R9" s="16" t="s">
        <v>1650</v>
      </c>
      <c r="S9" s="16">
        <v>4459.5600000000004</v>
      </c>
      <c r="T9" s="16">
        <v>5262.2808000000005</v>
      </c>
      <c r="U9" s="16">
        <v>5096.97</v>
      </c>
      <c r="V9" s="16">
        <v>6014.4246000000003</v>
      </c>
      <c r="W9" s="16">
        <v>4432.1478260869999</v>
      </c>
      <c r="X9" s="16">
        <v>5229.9344347826</v>
      </c>
      <c r="Y9" s="16">
        <v>825.89400000000001</v>
      </c>
      <c r="Z9" s="16">
        <v>1.1499999999999999</v>
      </c>
      <c r="AA9" s="16">
        <v>949.77809999999999</v>
      </c>
      <c r="AB9" s="16">
        <v>4209.5569411799997</v>
      </c>
      <c r="AC9" s="16">
        <v>4967.2771905924001</v>
      </c>
      <c r="BA9" s="16">
        <v>4451.8999999999996</v>
      </c>
      <c r="BB9" s="16">
        <v>5253.2420000000002</v>
      </c>
      <c r="BC9" s="16">
        <v>5096.9650000000001</v>
      </c>
      <c r="BD9" s="16">
        <v>6014.4187000000002</v>
      </c>
      <c r="BE9" s="16">
        <v>4432.1434782609003</v>
      </c>
      <c r="BF9" s="16">
        <v>5229.9293043478001</v>
      </c>
      <c r="BG9" s="16">
        <v>825.89400000000001</v>
      </c>
      <c r="BH9" s="16">
        <v>1.1499999999999999</v>
      </c>
      <c r="BI9" s="16">
        <v>949.77809999999999</v>
      </c>
      <c r="BJ9" s="16">
        <v>4209.5528117100002</v>
      </c>
      <c r="BK9" s="16">
        <v>4967.2723178178003</v>
      </c>
      <c r="CI9" s="16">
        <v>4415.87</v>
      </c>
      <c r="CJ9" s="16">
        <v>5210.7266</v>
      </c>
      <c r="CK9" s="16">
        <v>5060.88</v>
      </c>
      <c r="CL9" s="16">
        <v>5971.8383999999996</v>
      </c>
      <c r="CM9" s="16">
        <v>4400.7652173913002</v>
      </c>
      <c r="CN9" s="16">
        <v>5192.9029565216997</v>
      </c>
      <c r="CO9" s="16">
        <v>646.75800000000004</v>
      </c>
      <c r="CP9" s="16">
        <v>1.1499999999999999</v>
      </c>
      <c r="CQ9" s="16">
        <v>743.77170000000001</v>
      </c>
      <c r="CR9" s="16">
        <v>3273.1646270400001</v>
      </c>
      <c r="CS9" s="16">
        <v>3862.3342599071998</v>
      </c>
    </row>
    <row r="10" spans="1:123" ht="9.75" customHeight="1">
      <c r="A10" s="16" t="s">
        <v>1708</v>
      </c>
      <c r="B10" s="16" t="s">
        <v>446</v>
      </c>
      <c r="C10" s="16" t="s">
        <v>95</v>
      </c>
      <c r="D10" s="16" t="s">
        <v>95</v>
      </c>
      <c r="E10" s="16" t="s">
        <v>96</v>
      </c>
      <c r="F10" s="16" t="s">
        <v>97</v>
      </c>
      <c r="G10" s="16" t="s">
        <v>98</v>
      </c>
      <c r="H10" s="16" t="s">
        <v>99</v>
      </c>
      <c r="I10" s="16" t="s">
        <v>1758</v>
      </c>
      <c r="K10" s="16" t="s">
        <v>100</v>
      </c>
      <c r="L10" s="16" t="s">
        <v>43</v>
      </c>
      <c r="M10" s="16" t="s">
        <v>1539</v>
      </c>
      <c r="Q10" s="16" t="s">
        <v>1524</v>
      </c>
      <c r="R10" s="16" t="s">
        <v>1650</v>
      </c>
      <c r="S10" s="16">
        <v>4442.28</v>
      </c>
      <c r="T10" s="16">
        <v>5241.8904000000002</v>
      </c>
      <c r="U10" s="16">
        <v>5086.55</v>
      </c>
      <c r="V10" s="16">
        <v>6002.1289999999999</v>
      </c>
      <c r="W10" s="16">
        <v>4384.9568965517001</v>
      </c>
      <c r="X10" s="16">
        <v>5174.2491379310004</v>
      </c>
      <c r="Y10" s="16">
        <v>944.09</v>
      </c>
      <c r="Z10" s="16">
        <v>1.1599999999999999</v>
      </c>
      <c r="AA10" s="16">
        <v>1095.1443999999999</v>
      </c>
      <c r="AB10" s="16">
        <v>4802.1609895000001</v>
      </c>
      <c r="AC10" s="16">
        <v>5666.5499676099998</v>
      </c>
      <c r="BA10" s="16">
        <v>4518.37</v>
      </c>
      <c r="BB10" s="16">
        <v>5331.6765999999998</v>
      </c>
      <c r="BC10" s="16">
        <v>5020.4799999999996</v>
      </c>
      <c r="BD10" s="16">
        <v>5924.1664000000001</v>
      </c>
      <c r="BE10" s="16">
        <v>4291.0085470085996</v>
      </c>
      <c r="BF10" s="16">
        <v>5063.3900854700996</v>
      </c>
      <c r="BG10" s="16">
        <v>944.09</v>
      </c>
      <c r="BH10" s="16">
        <v>1.17</v>
      </c>
      <c r="BI10" s="16">
        <v>1104.5853</v>
      </c>
      <c r="BJ10" s="16">
        <v>4739.7849631999998</v>
      </c>
      <c r="BK10" s="16">
        <v>5592.9462565760005</v>
      </c>
      <c r="CI10" s="16">
        <v>4415.87</v>
      </c>
      <c r="CJ10" s="16">
        <v>5210.7266</v>
      </c>
      <c r="CK10" s="16">
        <v>5060.88</v>
      </c>
      <c r="CL10" s="16">
        <v>5971.8383999999996</v>
      </c>
      <c r="CM10" s="16">
        <v>4362.8275862069004</v>
      </c>
      <c r="CN10" s="16">
        <v>5148.1365517241002</v>
      </c>
      <c r="CO10" s="16">
        <v>485.863</v>
      </c>
      <c r="CP10" s="16">
        <v>1.1599999999999999</v>
      </c>
      <c r="CQ10" s="16">
        <v>563.60108000000002</v>
      </c>
      <c r="CR10" s="16">
        <v>2458.8943394399998</v>
      </c>
      <c r="CS10" s="16">
        <v>2901.4953205391998</v>
      </c>
    </row>
    <row r="11" spans="1:123" ht="9.75" customHeight="1">
      <c r="A11" s="16" t="s">
        <v>1709</v>
      </c>
      <c r="B11" s="16" t="s">
        <v>447</v>
      </c>
      <c r="C11" s="16" t="s">
        <v>101</v>
      </c>
      <c r="D11" s="16" t="s">
        <v>101</v>
      </c>
      <c r="E11" s="16" t="s">
        <v>102</v>
      </c>
      <c r="F11" s="16" t="s">
        <v>103</v>
      </c>
      <c r="G11" s="16" t="s">
        <v>104</v>
      </c>
      <c r="H11" s="16" t="s">
        <v>105</v>
      </c>
      <c r="I11" s="16" t="s">
        <v>1760</v>
      </c>
      <c r="K11" s="16" t="s">
        <v>106</v>
      </c>
      <c r="L11" s="16" t="s">
        <v>43</v>
      </c>
      <c r="M11" s="16" t="s">
        <v>1539</v>
      </c>
      <c r="Q11" s="16" t="s">
        <v>1524</v>
      </c>
      <c r="R11" s="16" t="s">
        <v>1650</v>
      </c>
      <c r="S11" s="16">
        <v>4433.8</v>
      </c>
      <c r="T11" s="16">
        <v>5231.884</v>
      </c>
      <c r="U11" s="16">
        <v>5078</v>
      </c>
      <c r="V11" s="16">
        <v>5992.04</v>
      </c>
      <c r="W11" s="16">
        <v>4415.6521739130003</v>
      </c>
      <c r="X11" s="16">
        <v>5210.4695652173996</v>
      </c>
      <c r="Y11" s="16">
        <v>1190.1400000000001</v>
      </c>
      <c r="Z11" s="16">
        <v>1.1499999999999999</v>
      </c>
      <c r="AA11" s="16">
        <v>1368.6610000000001</v>
      </c>
      <c r="AB11" s="16">
        <v>6043.5309200000002</v>
      </c>
      <c r="AC11" s="16">
        <v>7131.3664855999996</v>
      </c>
      <c r="BA11" s="16">
        <v>4433.8</v>
      </c>
      <c r="BB11" s="16">
        <v>5231.884</v>
      </c>
      <c r="BC11" s="16">
        <v>5078</v>
      </c>
      <c r="BD11" s="16">
        <v>5992.04</v>
      </c>
      <c r="BE11" s="16">
        <v>4415.6521739130003</v>
      </c>
      <c r="BF11" s="16">
        <v>5210.4695652173996</v>
      </c>
      <c r="BG11" s="16">
        <v>1190.1400000000001</v>
      </c>
      <c r="BH11" s="16">
        <v>1.1499999999999999</v>
      </c>
      <c r="BI11" s="16">
        <v>1368.6610000000001</v>
      </c>
      <c r="BJ11" s="16">
        <v>6043.5309200000002</v>
      </c>
      <c r="BK11" s="16">
        <v>7131.3664855999996</v>
      </c>
      <c r="CI11" s="16">
        <v>4850.59</v>
      </c>
      <c r="CJ11" s="16">
        <v>5723.6962000000003</v>
      </c>
      <c r="CK11" s="16">
        <v>5497.48</v>
      </c>
      <c r="CL11" s="16">
        <v>6487.0263999999997</v>
      </c>
      <c r="CM11" s="16">
        <v>4780.4173913043996</v>
      </c>
      <c r="CN11" s="16">
        <v>5640.8925217390997</v>
      </c>
      <c r="CO11" s="16">
        <v>355.34</v>
      </c>
      <c r="CP11" s="16">
        <v>1.1499999999999999</v>
      </c>
      <c r="CQ11" s="16">
        <v>408.64100000000002</v>
      </c>
      <c r="CR11" s="16">
        <v>1953.4745432</v>
      </c>
      <c r="CS11" s="16">
        <v>2305.0999609760001</v>
      </c>
    </row>
    <row r="12" spans="1:123" ht="9.75" customHeight="1">
      <c r="A12" s="16" t="s">
        <v>1725</v>
      </c>
      <c r="B12" s="16" t="s">
        <v>448</v>
      </c>
      <c r="C12" s="16" t="s">
        <v>70</v>
      </c>
      <c r="D12" s="16" t="s">
        <v>70</v>
      </c>
      <c r="E12" s="16" t="s">
        <v>71</v>
      </c>
      <c r="F12" s="16" t="s">
        <v>103</v>
      </c>
      <c r="G12" s="16" t="s">
        <v>104</v>
      </c>
      <c r="H12" s="16" t="s">
        <v>105</v>
      </c>
      <c r="I12" s="16" t="s">
        <v>1759</v>
      </c>
      <c r="K12" s="16" t="s">
        <v>107</v>
      </c>
      <c r="L12" s="16" t="s">
        <v>43</v>
      </c>
      <c r="M12" s="16" t="s">
        <v>1539</v>
      </c>
      <c r="Q12" s="16" t="s">
        <v>1524</v>
      </c>
      <c r="R12" s="16" t="s">
        <v>1650</v>
      </c>
      <c r="S12" s="16">
        <v>4866.96</v>
      </c>
      <c r="T12" s="16">
        <v>5743.0128000000004</v>
      </c>
      <c r="U12" s="16">
        <v>5513.88</v>
      </c>
      <c r="V12" s="16">
        <v>6506.3783999999996</v>
      </c>
      <c r="W12" s="16">
        <v>4794.6782608696003</v>
      </c>
      <c r="X12" s="16">
        <v>5657.7203478260999</v>
      </c>
      <c r="Y12" s="16">
        <v>747.37</v>
      </c>
      <c r="Z12" s="16">
        <v>1.1499999999999999</v>
      </c>
      <c r="AA12" s="16">
        <v>859.47550000000001</v>
      </c>
      <c r="AB12" s="16">
        <v>4120.9084955999997</v>
      </c>
      <c r="AC12" s="16">
        <v>4862.6720248080001</v>
      </c>
      <c r="BA12" s="16">
        <v>4866.96</v>
      </c>
      <c r="BB12" s="16">
        <v>5743.0128000000004</v>
      </c>
      <c r="BC12" s="16">
        <v>5513.88</v>
      </c>
      <c r="BD12" s="16">
        <v>6506.3783999999996</v>
      </c>
      <c r="BE12" s="16">
        <v>4794.6782608696003</v>
      </c>
      <c r="BF12" s="16">
        <v>5657.7203478260999</v>
      </c>
      <c r="BG12" s="16">
        <v>747.37</v>
      </c>
      <c r="BH12" s="16">
        <v>1.1499999999999999</v>
      </c>
      <c r="BI12" s="16">
        <v>859.47550000000001</v>
      </c>
      <c r="BJ12" s="16">
        <v>4120.9084955999997</v>
      </c>
      <c r="BK12" s="16">
        <v>4862.6720248080001</v>
      </c>
      <c r="CI12" s="16">
        <v>4419.5200000000004</v>
      </c>
      <c r="CJ12" s="16">
        <v>5215.0335999999998</v>
      </c>
      <c r="CK12" s="16">
        <v>5063.78</v>
      </c>
      <c r="CL12" s="16">
        <v>5975.2604000000001</v>
      </c>
      <c r="CM12" s="16">
        <v>4403.2869565216997</v>
      </c>
      <c r="CN12" s="16">
        <v>5195.8786086956998</v>
      </c>
      <c r="CO12" s="16">
        <v>747.37</v>
      </c>
      <c r="CP12" s="16">
        <v>1.1499999999999999</v>
      </c>
      <c r="CQ12" s="16">
        <v>859.47550000000001</v>
      </c>
      <c r="CR12" s="16">
        <v>3784.5172585999999</v>
      </c>
      <c r="CS12" s="16">
        <v>4465.7303651479997</v>
      </c>
    </row>
    <row r="13" spans="1:123" ht="9.75" customHeight="1">
      <c r="A13" s="16" t="s">
        <v>1726</v>
      </c>
      <c r="B13" s="16" t="s">
        <v>449</v>
      </c>
      <c r="C13" s="16" t="s">
        <v>70</v>
      </c>
      <c r="D13" s="16" t="s">
        <v>70</v>
      </c>
      <c r="E13" s="16" t="s">
        <v>71</v>
      </c>
      <c r="F13" s="16" t="s">
        <v>108</v>
      </c>
      <c r="G13" s="16" t="s">
        <v>73</v>
      </c>
      <c r="H13" s="16" t="s">
        <v>109</v>
      </c>
      <c r="I13" s="16" t="s">
        <v>1758</v>
      </c>
      <c r="K13" s="16" t="s">
        <v>75</v>
      </c>
      <c r="L13" s="16" t="s">
        <v>110</v>
      </c>
      <c r="M13" s="16" t="s">
        <v>1540</v>
      </c>
      <c r="Q13" s="16" t="s">
        <v>1524</v>
      </c>
      <c r="R13" s="16" t="s">
        <v>1650</v>
      </c>
      <c r="S13" s="16">
        <v>4628.09</v>
      </c>
      <c r="T13" s="16">
        <v>4628.09</v>
      </c>
      <c r="U13" s="16">
        <v>5974.9</v>
      </c>
      <c r="V13" s="16">
        <v>5974.9</v>
      </c>
      <c r="W13" s="16">
        <v>5150.7758620690001</v>
      </c>
      <c r="X13" s="16">
        <v>5150.7758620690001</v>
      </c>
      <c r="Y13" s="16">
        <v>84.84</v>
      </c>
      <c r="Z13" s="16">
        <v>1.1599999999999999</v>
      </c>
      <c r="AA13" s="16">
        <v>98.414400000000001</v>
      </c>
      <c r="AB13" s="16">
        <v>506.91051599999997</v>
      </c>
      <c r="AC13" s="16">
        <v>506.91051599999997</v>
      </c>
      <c r="BA13" s="16">
        <v>4628.0919999999996</v>
      </c>
      <c r="BB13" s="16">
        <v>4628.0919999999996</v>
      </c>
      <c r="BC13" s="16">
        <v>5974.9</v>
      </c>
      <c r="BD13" s="16">
        <v>5974.9</v>
      </c>
      <c r="BE13" s="16">
        <v>5134.3989000601996</v>
      </c>
      <c r="BF13" s="16">
        <v>5134.3989000601996</v>
      </c>
      <c r="BG13" s="16">
        <v>84.838999999999999</v>
      </c>
      <c r="BH13" s="16">
        <v>1.1637</v>
      </c>
      <c r="BI13" s="16">
        <v>98.727144300000006</v>
      </c>
      <c r="BJ13" s="16">
        <v>506.90454110000002</v>
      </c>
      <c r="BK13" s="16">
        <v>506.90454110000002</v>
      </c>
      <c r="CI13" s="16">
        <v>4545.4139999999998</v>
      </c>
      <c r="CJ13" s="16">
        <v>4545.4139999999998</v>
      </c>
      <c r="CK13" s="16">
        <v>5972.3</v>
      </c>
      <c r="CL13" s="16">
        <v>5972.3</v>
      </c>
      <c r="CM13" s="16">
        <v>5134.8121399707998</v>
      </c>
      <c r="CN13" s="16">
        <v>5134.8121399707998</v>
      </c>
      <c r="CO13" s="16">
        <v>73.268000000000001</v>
      </c>
      <c r="CP13" s="16">
        <v>1.1631</v>
      </c>
      <c r="CQ13" s="16">
        <v>85.218010800000002</v>
      </c>
      <c r="CR13" s="16">
        <v>437.5784764</v>
      </c>
      <c r="CS13" s="16">
        <v>437.5784764</v>
      </c>
    </row>
    <row r="14" spans="1:123" ht="9.75" customHeight="1">
      <c r="A14" s="16" t="s">
        <v>1726</v>
      </c>
      <c r="B14" s="16" t="s">
        <v>450</v>
      </c>
      <c r="C14" s="16" t="s">
        <v>70</v>
      </c>
      <c r="D14" s="16" t="s">
        <v>70</v>
      </c>
      <c r="E14" s="16" t="s">
        <v>71</v>
      </c>
      <c r="F14" s="16" t="s">
        <v>108</v>
      </c>
      <c r="G14" s="16" t="s">
        <v>73</v>
      </c>
      <c r="H14" s="16" t="s">
        <v>109</v>
      </c>
      <c r="I14" s="16" t="s">
        <v>1758</v>
      </c>
      <c r="K14" s="16" t="s">
        <v>75</v>
      </c>
      <c r="L14" s="16" t="s">
        <v>110</v>
      </c>
      <c r="M14" s="16" t="s">
        <v>1540</v>
      </c>
      <c r="Q14" s="16" t="s">
        <v>1524</v>
      </c>
      <c r="R14" s="16" t="s">
        <v>1651</v>
      </c>
      <c r="S14" s="16">
        <v>7711.29</v>
      </c>
      <c r="T14" s="16">
        <v>7711.29</v>
      </c>
      <c r="U14" s="16">
        <v>8852.6</v>
      </c>
      <c r="V14" s="16">
        <v>8852.6</v>
      </c>
      <c r="W14" s="16">
        <v>7631.5517241379002</v>
      </c>
      <c r="X14" s="16">
        <v>7631.5517241379002</v>
      </c>
      <c r="Y14" s="16">
        <v>10.7</v>
      </c>
      <c r="Z14" s="16">
        <v>1.1599999999999999</v>
      </c>
      <c r="AA14" s="16">
        <v>12.412000000000001</v>
      </c>
      <c r="AB14" s="16">
        <v>94.722819999999999</v>
      </c>
      <c r="AC14" s="16">
        <v>94.722819999999999</v>
      </c>
      <c r="BA14" s="16">
        <v>7711.29</v>
      </c>
      <c r="BB14" s="16">
        <v>7711.29</v>
      </c>
      <c r="BC14" s="16">
        <v>8852.6</v>
      </c>
      <c r="BD14" s="16">
        <v>8852.6</v>
      </c>
      <c r="BE14" s="16">
        <v>7607.2871014865996</v>
      </c>
      <c r="BF14" s="16">
        <v>7607.2871014865996</v>
      </c>
      <c r="BG14" s="16">
        <v>10.696</v>
      </c>
      <c r="BH14" s="16">
        <v>1.1637</v>
      </c>
      <c r="BI14" s="16">
        <v>12.4469352</v>
      </c>
      <c r="BJ14" s="16">
        <v>94.687409599999995</v>
      </c>
      <c r="BK14" s="16">
        <v>94.687409599999995</v>
      </c>
      <c r="CI14" s="16">
        <v>7711.2879999999996</v>
      </c>
      <c r="CJ14" s="16">
        <v>7711.2879999999996</v>
      </c>
      <c r="CK14" s="16">
        <v>8852.6</v>
      </c>
      <c r="CL14" s="16">
        <v>8852.6</v>
      </c>
      <c r="CM14" s="16">
        <v>7611.2114177629001</v>
      </c>
      <c r="CN14" s="16">
        <v>7611.2114177629001</v>
      </c>
      <c r="CO14" s="16">
        <v>10.696</v>
      </c>
      <c r="CP14" s="16">
        <v>1.1631</v>
      </c>
      <c r="CQ14" s="16">
        <v>12.4405176</v>
      </c>
      <c r="CR14" s="16">
        <v>94.687409599999995</v>
      </c>
      <c r="CS14" s="16">
        <v>94.687409599999995</v>
      </c>
    </row>
    <row r="15" spans="1:123" ht="9.75" customHeight="1">
      <c r="A15" s="16" t="s">
        <v>1727</v>
      </c>
      <c r="B15" s="16" t="s">
        <v>452</v>
      </c>
      <c r="C15" s="16" t="s">
        <v>111</v>
      </c>
      <c r="D15" s="16" t="s">
        <v>111</v>
      </c>
      <c r="E15" s="16" t="s">
        <v>112</v>
      </c>
      <c r="F15" s="16" t="s">
        <v>113</v>
      </c>
      <c r="G15" s="16" t="s">
        <v>58</v>
      </c>
      <c r="H15" s="16" t="s">
        <v>114</v>
      </c>
      <c r="I15" s="16" t="s">
        <v>1758</v>
      </c>
      <c r="K15" s="16" t="s">
        <v>115</v>
      </c>
      <c r="L15" s="16" t="s">
        <v>43</v>
      </c>
      <c r="M15" s="16" t="s">
        <v>1539</v>
      </c>
      <c r="P15" s="16" t="s">
        <v>116</v>
      </c>
      <c r="Q15" s="16" t="s">
        <v>1524</v>
      </c>
      <c r="R15" s="16" t="s">
        <v>1650</v>
      </c>
      <c r="S15" s="16">
        <v>4454.7299999999996</v>
      </c>
      <c r="T15" s="16">
        <v>5256.5814</v>
      </c>
      <c r="U15" s="16">
        <v>5084.6899999999996</v>
      </c>
      <c r="V15" s="16">
        <v>5999.9341999999997</v>
      </c>
      <c r="W15" s="16">
        <v>4421.4695652173996</v>
      </c>
      <c r="X15" s="16">
        <v>5217.3340869565</v>
      </c>
      <c r="Y15" s="16">
        <v>906.7</v>
      </c>
      <c r="Z15" s="16">
        <v>1.1499999999999999</v>
      </c>
      <c r="AA15" s="16">
        <v>1042.7049999999999</v>
      </c>
      <c r="AB15" s="16">
        <v>4610.288423</v>
      </c>
      <c r="AC15" s="16">
        <v>5440.1403391399999</v>
      </c>
      <c r="BA15" s="16">
        <v>4451.2299999999996</v>
      </c>
      <c r="BB15" s="16">
        <v>5252.4513999999999</v>
      </c>
      <c r="BC15" s="16">
        <v>5096.24</v>
      </c>
      <c r="BD15" s="16">
        <v>6013.5631999999996</v>
      </c>
      <c r="BE15" s="16">
        <v>4431.5130434782996</v>
      </c>
      <c r="BF15" s="16">
        <v>5229.1853913043997</v>
      </c>
      <c r="BG15" s="16">
        <v>745.4</v>
      </c>
      <c r="BH15" s="16">
        <v>1.1499999999999999</v>
      </c>
      <c r="BI15" s="16">
        <v>857.21</v>
      </c>
      <c r="BJ15" s="16">
        <v>3798.7372959999998</v>
      </c>
      <c r="BK15" s="16">
        <v>4482.5100092800003</v>
      </c>
      <c r="CI15" s="16">
        <v>4408.87</v>
      </c>
      <c r="CJ15" s="16">
        <v>5202.4665999999997</v>
      </c>
      <c r="CK15" s="16">
        <v>5053.88</v>
      </c>
      <c r="CL15" s="16">
        <v>5963.5784000000003</v>
      </c>
      <c r="CM15" s="16">
        <v>4394.6782608696003</v>
      </c>
      <c r="CN15" s="16">
        <v>5185.7203478260999</v>
      </c>
      <c r="CO15" s="16">
        <v>515.84</v>
      </c>
      <c r="CP15" s="16">
        <v>1.1499999999999999</v>
      </c>
      <c r="CQ15" s="16">
        <v>593.21600000000001</v>
      </c>
      <c r="CR15" s="16">
        <v>2606.9934592</v>
      </c>
      <c r="CS15" s="16">
        <v>3076.2522818560001</v>
      </c>
    </row>
    <row r="16" spans="1:123" ht="9.75" customHeight="1">
      <c r="A16" s="16" t="s">
        <v>1728</v>
      </c>
      <c r="B16" s="16" t="s">
        <v>453</v>
      </c>
      <c r="C16" s="16" t="s">
        <v>70</v>
      </c>
      <c r="D16" s="16" t="s">
        <v>70</v>
      </c>
      <c r="E16" s="16" t="s">
        <v>71</v>
      </c>
      <c r="F16" s="16" t="s">
        <v>117</v>
      </c>
      <c r="G16" s="16" t="s">
        <v>98</v>
      </c>
      <c r="H16" s="16" t="s">
        <v>118</v>
      </c>
      <c r="I16" s="16" t="s">
        <v>1758</v>
      </c>
      <c r="K16" s="16" t="s">
        <v>75</v>
      </c>
      <c r="L16" s="16" t="s">
        <v>110</v>
      </c>
      <c r="M16" s="16" t="s">
        <v>1539</v>
      </c>
      <c r="Q16" s="16" t="s">
        <v>1524</v>
      </c>
      <c r="R16" s="16" t="s">
        <v>1650</v>
      </c>
      <c r="S16" s="16">
        <v>4430.1499999999996</v>
      </c>
      <c r="T16" s="16">
        <v>5227.5770000000002</v>
      </c>
      <c r="U16" s="16">
        <v>5075.16</v>
      </c>
      <c r="V16" s="16">
        <v>5988.6887999999999</v>
      </c>
      <c r="W16" s="16">
        <v>4413.1826086956999</v>
      </c>
      <c r="X16" s="16">
        <v>5207.5554782608997</v>
      </c>
      <c r="Y16" s="16">
        <v>966.125</v>
      </c>
      <c r="Z16" s="16">
        <v>1.1499999999999999</v>
      </c>
      <c r="AA16" s="16">
        <v>1111.04375</v>
      </c>
      <c r="AB16" s="16">
        <v>4903.2389549999998</v>
      </c>
      <c r="AC16" s="16">
        <v>5785.8219669</v>
      </c>
      <c r="BA16" s="16">
        <v>4430.1499999999996</v>
      </c>
      <c r="BB16" s="16">
        <v>5227.5770000000002</v>
      </c>
      <c r="BC16" s="16">
        <v>5075.16</v>
      </c>
      <c r="BD16" s="16">
        <v>5988.6887999999999</v>
      </c>
      <c r="BE16" s="16">
        <v>4413.1826086956999</v>
      </c>
      <c r="BF16" s="16">
        <v>5207.5554782608997</v>
      </c>
      <c r="BG16" s="16">
        <v>966.125</v>
      </c>
      <c r="BH16" s="16">
        <v>1.1499999999999999</v>
      </c>
      <c r="BI16" s="16">
        <v>1111.04375</v>
      </c>
      <c r="BJ16" s="16">
        <v>4903.2389549999998</v>
      </c>
      <c r="BK16" s="16">
        <v>5785.8219669</v>
      </c>
      <c r="CI16" s="16">
        <v>4413</v>
      </c>
      <c r="CJ16" s="16">
        <v>5207.34</v>
      </c>
      <c r="CK16" s="16">
        <v>5060</v>
      </c>
      <c r="CL16" s="16">
        <v>5970.8</v>
      </c>
      <c r="CM16" s="16">
        <v>4400</v>
      </c>
      <c r="CN16" s="16">
        <v>5192</v>
      </c>
      <c r="CO16" s="16">
        <v>584.44500000000005</v>
      </c>
      <c r="CP16" s="16">
        <v>1.1499999999999999</v>
      </c>
      <c r="CQ16" s="16">
        <v>672.11175000000003</v>
      </c>
      <c r="CR16" s="16">
        <v>2957.2917000000002</v>
      </c>
      <c r="CS16" s="16">
        <v>3489.604206</v>
      </c>
    </row>
    <row r="17" spans="1:122" ht="9.75" customHeight="1">
      <c r="A17" s="16" t="s">
        <v>1729</v>
      </c>
      <c r="B17" s="16" t="s">
        <v>454</v>
      </c>
      <c r="C17" s="16" t="s">
        <v>119</v>
      </c>
      <c r="D17" s="16" t="s">
        <v>119</v>
      </c>
      <c r="E17" s="16" t="s">
        <v>120</v>
      </c>
      <c r="F17" s="16" t="s">
        <v>121</v>
      </c>
      <c r="G17" s="16" t="s">
        <v>122</v>
      </c>
      <c r="H17" s="16" t="s">
        <v>123</v>
      </c>
      <c r="I17" s="16" t="s">
        <v>1758</v>
      </c>
      <c r="K17" s="16" t="s">
        <v>124</v>
      </c>
      <c r="L17" s="16" t="s">
        <v>43</v>
      </c>
      <c r="M17" s="16" t="s">
        <v>1540</v>
      </c>
      <c r="Q17" s="16" t="s">
        <v>1524</v>
      </c>
      <c r="R17" s="16" t="s">
        <v>1650</v>
      </c>
      <c r="S17" s="16">
        <v>5113.25</v>
      </c>
      <c r="T17" s="16">
        <v>5113.25</v>
      </c>
      <c r="U17" s="16">
        <v>5877.98</v>
      </c>
      <c r="V17" s="16">
        <v>5877.98</v>
      </c>
      <c r="W17" s="16">
        <v>5111.2869565216997</v>
      </c>
      <c r="X17" s="16">
        <v>5111.2869565216997</v>
      </c>
      <c r="Y17" s="16">
        <v>973.28</v>
      </c>
      <c r="Z17" s="16">
        <v>1.1499999999999999</v>
      </c>
      <c r="AA17" s="16">
        <v>1119.2719999999999</v>
      </c>
      <c r="AB17" s="16">
        <v>5720.9203743999997</v>
      </c>
      <c r="AC17" s="16">
        <v>5720.9203743999997</v>
      </c>
      <c r="BA17" s="16">
        <v>5096.43</v>
      </c>
      <c r="BB17" s="16">
        <v>5096.43</v>
      </c>
      <c r="BC17" s="16">
        <v>5874.62</v>
      </c>
      <c r="BD17" s="16">
        <v>5874.62</v>
      </c>
      <c r="BE17" s="16">
        <v>5108.3652173912997</v>
      </c>
      <c r="BF17" s="16">
        <v>5108.3652173912997</v>
      </c>
      <c r="BG17" s="16">
        <v>973.28</v>
      </c>
      <c r="BH17" s="16">
        <v>1.1499999999999999</v>
      </c>
      <c r="BI17" s="16">
        <v>1119.2719999999999</v>
      </c>
      <c r="BJ17" s="16">
        <v>5717.6501535999996</v>
      </c>
      <c r="BK17" s="16">
        <v>5717.6501535999996</v>
      </c>
      <c r="CI17" s="16">
        <v>5113.25</v>
      </c>
      <c r="CJ17" s="16">
        <v>5113.25</v>
      </c>
      <c r="CK17" s="16">
        <v>5877.98</v>
      </c>
      <c r="CL17" s="16">
        <v>5877.98</v>
      </c>
      <c r="CM17" s="16">
        <v>5111.2869565216997</v>
      </c>
      <c r="CN17" s="16">
        <v>5111.2869565216997</v>
      </c>
      <c r="CO17" s="16">
        <v>863.23</v>
      </c>
      <c r="CP17" s="16">
        <v>1.1499999999999999</v>
      </c>
      <c r="CQ17" s="16">
        <v>992.71450000000004</v>
      </c>
      <c r="CR17" s="16">
        <v>5074.0486754000003</v>
      </c>
      <c r="CS17" s="16">
        <v>5074.0486754000003</v>
      </c>
    </row>
    <row r="18" spans="1:122" ht="9.75" customHeight="1">
      <c r="A18" s="16" t="s">
        <v>125</v>
      </c>
      <c r="B18" s="16" t="s">
        <v>455</v>
      </c>
      <c r="C18" s="16" t="s">
        <v>46</v>
      </c>
      <c r="D18" s="16" t="s">
        <v>126</v>
      </c>
      <c r="E18" s="16" t="s">
        <v>127</v>
      </c>
      <c r="F18" s="16" t="s">
        <v>128</v>
      </c>
      <c r="G18" s="16" t="s">
        <v>73</v>
      </c>
      <c r="H18" s="16" t="s">
        <v>129</v>
      </c>
      <c r="I18" s="16" t="s">
        <v>1758</v>
      </c>
      <c r="K18" s="16" t="s">
        <v>130</v>
      </c>
      <c r="L18" s="16" t="s">
        <v>43</v>
      </c>
      <c r="M18" s="16" t="s">
        <v>1539</v>
      </c>
      <c r="Q18" s="16" t="s">
        <v>1524</v>
      </c>
      <c r="R18" s="16" t="s">
        <v>1650</v>
      </c>
      <c r="S18" s="16">
        <v>4268</v>
      </c>
      <c r="T18" s="16">
        <v>5036.24</v>
      </c>
      <c r="U18" s="16">
        <v>4268</v>
      </c>
      <c r="V18" s="16">
        <v>5036.24</v>
      </c>
      <c r="W18" s="16">
        <v>3743.8596491228</v>
      </c>
      <c r="X18" s="16">
        <v>4417.7543859649004</v>
      </c>
      <c r="Y18" s="16">
        <v>1407.45</v>
      </c>
      <c r="Z18" s="16">
        <v>1.1399999999999999</v>
      </c>
      <c r="AA18" s="16">
        <v>1604.4929999999999</v>
      </c>
      <c r="AB18" s="16">
        <v>6006.9966000000004</v>
      </c>
      <c r="AC18" s="16">
        <v>7088.2559879999999</v>
      </c>
      <c r="BA18" s="16">
        <v>4266</v>
      </c>
      <c r="BB18" s="16">
        <v>5033.88</v>
      </c>
      <c r="BC18" s="16">
        <v>4266</v>
      </c>
      <c r="BD18" s="16">
        <v>5033.88</v>
      </c>
      <c r="BE18" s="16">
        <v>3742.1052631579</v>
      </c>
      <c r="BF18" s="16">
        <v>4415.6842105263004</v>
      </c>
      <c r="BG18" s="16">
        <v>1407.45</v>
      </c>
      <c r="BH18" s="16">
        <v>1.1399999999999999</v>
      </c>
      <c r="BI18" s="16">
        <v>1604.4929999999999</v>
      </c>
      <c r="BJ18" s="16">
        <v>6004.1817000000001</v>
      </c>
      <c r="BK18" s="16">
        <v>7084.9344060000003</v>
      </c>
      <c r="CI18" s="16">
        <v>4265.8999999999996</v>
      </c>
      <c r="CJ18" s="16">
        <v>5033.7619999999997</v>
      </c>
      <c r="CK18" s="16">
        <v>4265.8999999999996</v>
      </c>
      <c r="CL18" s="16">
        <v>5033.7619999999997</v>
      </c>
      <c r="CM18" s="16">
        <v>3742.0175438596998</v>
      </c>
      <c r="CN18" s="16">
        <v>4415.5807017544003</v>
      </c>
      <c r="CO18" s="16">
        <v>643.447</v>
      </c>
      <c r="CP18" s="16">
        <v>1.1399999999999999</v>
      </c>
      <c r="CQ18" s="16">
        <v>733.52958000000001</v>
      </c>
      <c r="CR18" s="16">
        <v>2744.8805573</v>
      </c>
      <c r="CS18" s="16">
        <v>3238.9590576139999</v>
      </c>
    </row>
    <row r="19" spans="1:122" ht="9.75" customHeight="1">
      <c r="A19" s="16" t="s">
        <v>131</v>
      </c>
      <c r="B19" s="16" t="s">
        <v>456</v>
      </c>
      <c r="C19" s="16" t="s">
        <v>70</v>
      </c>
      <c r="D19" s="16" t="s">
        <v>70</v>
      </c>
      <c r="E19" s="16" t="s">
        <v>71</v>
      </c>
      <c r="F19" s="16" t="s">
        <v>132</v>
      </c>
      <c r="G19" s="16" t="s">
        <v>40</v>
      </c>
      <c r="H19" s="16" t="s">
        <v>133</v>
      </c>
      <c r="I19" s="16" t="s">
        <v>1758</v>
      </c>
      <c r="K19" s="16" t="s">
        <v>134</v>
      </c>
      <c r="L19" s="16" t="s">
        <v>43</v>
      </c>
      <c r="M19" s="16" t="s">
        <v>1539</v>
      </c>
      <c r="Q19" s="16" t="s">
        <v>1524</v>
      </c>
      <c r="R19" s="16" t="s">
        <v>1650</v>
      </c>
      <c r="S19" s="16">
        <v>4610.2049999999999</v>
      </c>
      <c r="T19" s="16">
        <v>5440.0419000000002</v>
      </c>
      <c r="U19" s="16">
        <v>5284.23</v>
      </c>
      <c r="V19" s="16">
        <v>6235.3914000000004</v>
      </c>
      <c r="W19" s="16">
        <v>4555.3706896552003</v>
      </c>
      <c r="X19" s="16">
        <v>5375.3374137930996</v>
      </c>
      <c r="Y19" s="16">
        <v>2708.6610000000001</v>
      </c>
      <c r="Z19" s="16">
        <v>1.1599999999999999</v>
      </c>
      <c r="AA19" s="16">
        <v>3142.0467600000002</v>
      </c>
      <c r="AB19" s="16">
        <v>14313.187716029999</v>
      </c>
      <c r="AC19" s="16">
        <v>16889.5615049154</v>
      </c>
      <c r="BA19" s="16">
        <v>4190.8100000000004</v>
      </c>
      <c r="BB19" s="16">
        <v>4945.1558000000005</v>
      </c>
      <c r="BC19" s="16">
        <v>4811.6099999999997</v>
      </c>
      <c r="BD19" s="16">
        <v>5677.6998000000003</v>
      </c>
      <c r="BE19" s="16">
        <v>4184.0086956522</v>
      </c>
      <c r="BF19" s="16">
        <v>4937.1302608695996</v>
      </c>
      <c r="BG19" s="16">
        <v>2389.15</v>
      </c>
      <c r="BH19" s="16">
        <v>1.1499999999999999</v>
      </c>
      <c r="BI19" s="16">
        <v>2747.5225</v>
      </c>
      <c r="BJ19" s="16">
        <v>11495.658031499999</v>
      </c>
      <c r="BK19" s="16">
        <v>13564.876477170001</v>
      </c>
      <c r="CI19" s="16">
        <v>4190.8100000000004</v>
      </c>
      <c r="CJ19" s="16">
        <v>4945.1558000000005</v>
      </c>
      <c r="CK19" s="16">
        <v>4811.6099999999997</v>
      </c>
      <c r="CL19" s="16">
        <v>5677.6998000000003</v>
      </c>
      <c r="CM19" s="16">
        <v>4184.0086956522</v>
      </c>
      <c r="CN19" s="16">
        <v>4937.1302608695996</v>
      </c>
      <c r="CO19" s="16">
        <v>2325.59</v>
      </c>
      <c r="CP19" s="16">
        <v>1.1499999999999999</v>
      </c>
      <c r="CQ19" s="16">
        <v>2674.4285</v>
      </c>
      <c r="CR19" s="16">
        <v>11189.832099900001</v>
      </c>
      <c r="CS19" s="16">
        <v>13204.001877881999</v>
      </c>
    </row>
    <row r="20" spans="1:122" ht="9.75" customHeight="1">
      <c r="A20" s="16" t="s">
        <v>135</v>
      </c>
      <c r="B20" s="16" t="s">
        <v>457</v>
      </c>
      <c r="C20" s="16" t="s">
        <v>136</v>
      </c>
      <c r="D20" s="16" t="s">
        <v>136</v>
      </c>
      <c r="E20" s="16" t="s">
        <v>137</v>
      </c>
      <c r="F20" s="16" t="s">
        <v>138</v>
      </c>
      <c r="G20" s="16" t="s">
        <v>139</v>
      </c>
      <c r="H20" s="16" t="s">
        <v>140</v>
      </c>
      <c r="I20" s="16" t="s">
        <v>1758</v>
      </c>
      <c r="K20" s="16" t="s">
        <v>141</v>
      </c>
      <c r="L20" s="16" t="s">
        <v>43</v>
      </c>
      <c r="M20" s="16" t="s">
        <v>1540</v>
      </c>
      <c r="Q20" s="16" t="s">
        <v>1524</v>
      </c>
      <c r="R20" s="16" t="s">
        <v>1650</v>
      </c>
      <c r="S20" s="16">
        <v>5238.5</v>
      </c>
      <c r="T20" s="16">
        <v>5238.5</v>
      </c>
      <c r="U20" s="16">
        <v>5998.47</v>
      </c>
      <c r="V20" s="16">
        <v>5998.47</v>
      </c>
      <c r="W20" s="16">
        <v>5126.8974358974001</v>
      </c>
      <c r="X20" s="16">
        <v>5126.8974358974001</v>
      </c>
      <c r="Y20" s="16">
        <v>3502.174</v>
      </c>
      <c r="Z20" s="16">
        <v>1.17</v>
      </c>
      <c r="AA20" s="16">
        <v>4097.5435799999996</v>
      </c>
      <c r="AB20" s="16">
        <v>21007.685673780001</v>
      </c>
      <c r="AC20" s="16">
        <v>21007.685673780001</v>
      </c>
      <c r="BA20" s="16">
        <v>5221.1099999999997</v>
      </c>
      <c r="BB20" s="16">
        <v>5221.1099999999997</v>
      </c>
      <c r="BC20" s="16">
        <v>5837.67</v>
      </c>
      <c r="BD20" s="16">
        <v>5837.67</v>
      </c>
      <c r="BE20" s="16">
        <v>4980.9470989761003</v>
      </c>
      <c r="BF20" s="16">
        <v>4980.9470989761003</v>
      </c>
      <c r="BG20" s="16">
        <v>2892.3380000000002</v>
      </c>
      <c r="BH20" s="16">
        <v>1.1719999999999999</v>
      </c>
      <c r="BI20" s="16">
        <v>3389.8201359999998</v>
      </c>
      <c r="BJ20" s="16">
        <v>16884.514772459999</v>
      </c>
      <c r="BK20" s="16">
        <v>16884.514772459999</v>
      </c>
      <c r="CI20" s="16">
        <v>5265.47</v>
      </c>
      <c r="CJ20" s="16">
        <v>5265.47</v>
      </c>
      <c r="CK20" s="16">
        <v>6026.58</v>
      </c>
      <c r="CL20" s="16">
        <v>6026.58</v>
      </c>
      <c r="CM20" s="16">
        <v>5173.0300429184999</v>
      </c>
      <c r="CN20" s="16">
        <v>5173.0300429184999</v>
      </c>
      <c r="CO20" s="16">
        <v>2262.3319999999999</v>
      </c>
      <c r="CP20" s="16">
        <v>1.165</v>
      </c>
      <c r="CQ20" s="16">
        <v>2635.6167799999998</v>
      </c>
      <c r="CR20" s="16">
        <v>13634.124784559999</v>
      </c>
      <c r="CS20" s="16">
        <v>13634.124784559999</v>
      </c>
    </row>
    <row r="21" spans="1:122" ht="9.75" customHeight="1">
      <c r="A21" s="16" t="s">
        <v>135</v>
      </c>
      <c r="B21" s="16" t="s">
        <v>458</v>
      </c>
      <c r="C21" s="16" t="s">
        <v>136</v>
      </c>
      <c r="D21" s="16" t="s">
        <v>136</v>
      </c>
      <c r="E21" s="16" t="s">
        <v>137</v>
      </c>
      <c r="F21" s="16" t="s">
        <v>138</v>
      </c>
      <c r="G21" s="16" t="s">
        <v>139</v>
      </c>
      <c r="H21" s="16" t="s">
        <v>140</v>
      </c>
      <c r="I21" s="16" t="s">
        <v>1758</v>
      </c>
      <c r="K21" s="16" t="s">
        <v>141</v>
      </c>
      <c r="L21" s="16" t="s">
        <v>43</v>
      </c>
      <c r="M21" s="16" t="s">
        <v>1540</v>
      </c>
      <c r="Q21" s="16" t="s">
        <v>1524</v>
      </c>
      <c r="R21" s="16" t="s">
        <v>1651</v>
      </c>
      <c r="S21" s="16">
        <v>5221.1099999999997</v>
      </c>
      <c r="T21" s="16">
        <v>5221.1099999999997</v>
      </c>
      <c r="U21" s="16">
        <v>5837.67</v>
      </c>
      <c r="V21" s="16">
        <v>5837.67</v>
      </c>
      <c r="W21" s="16">
        <v>4989.4615384614999</v>
      </c>
      <c r="X21" s="16">
        <v>4989.4615384614999</v>
      </c>
      <c r="Y21" s="16">
        <v>923.07899999999995</v>
      </c>
      <c r="Z21" s="16">
        <v>1.17</v>
      </c>
      <c r="AA21" s="16">
        <v>1080.00243</v>
      </c>
      <c r="AB21" s="16">
        <v>5388.6305859300001</v>
      </c>
      <c r="AC21" s="16">
        <v>5388.6305859300001</v>
      </c>
      <c r="BA21" s="16">
        <v>5221.1099999999997</v>
      </c>
      <c r="BB21" s="16">
        <v>5221.1099999999997</v>
      </c>
      <c r="BC21" s="16">
        <v>5837.67</v>
      </c>
      <c r="BD21" s="16">
        <v>5837.67</v>
      </c>
      <c r="BE21" s="16">
        <v>4989.4615384614999</v>
      </c>
      <c r="BF21" s="16">
        <v>4989.4615384614999</v>
      </c>
      <c r="BG21" s="16">
        <v>923.07899999999995</v>
      </c>
      <c r="BH21" s="16">
        <v>1.17</v>
      </c>
      <c r="BI21" s="16">
        <v>1080.00243</v>
      </c>
      <c r="BJ21" s="16">
        <v>5388.6305859300001</v>
      </c>
      <c r="BK21" s="16">
        <v>5388.6305859300001</v>
      </c>
      <c r="CI21" s="16">
        <v>6886.6</v>
      </c>
      <c r="CJ21" s="16">
        <v>6886.6</v>
      </c>
      <c r="CK21" s="16">
        <v>7647.71</v>
      </c>
      <c r="CL21" s="16">
        <v>7647.71</v>
      </c>
      <c r="CM21" s="16">
        <v>6536.5042735042998</v>
      </c>
      <c r="CN21" s="16">
        <v>6536.5042735042998</v>
      </c>
      <c r="CO21" s="16">
        <v>124.074</v>
      </c>
      <c r="CP21" s="16">
        <v>1.17</v>
      </c>
      <c r="CQ21" s="16">
        <v>145.16658000000001</v>
      </c>
      <c r="CR21" s="16">
        <v>948.88197054</v>
      </c>
      <c r="CS21" s="16">
        <v>948.88197054</v>
      </c>
    </row>
    <row r="22" spans="1:122" ht="9.75" customHeight="1">
      <c r="A22" s="16" t="s">
        <v>142</v>
      </c>
      <c r="B22" s="16" t="s">
        <v>459</v>
      </c>
      <c r="C22" s="16" t="s">
        <v>85</v>
      </c>
      <c r="D22" s="16" t="s">
        <v>85</v>
      </c>
      <c r="E22" s="16" t="s">
        <v>86</v>
      </c>
      <c r="F22" s="16" t="s">
        <v>143</v>
      </c>
      <c r="G22" s="16" t="s">
        <v>88</v>
      </c>
      <c r="H22" s="16" t="s">
        <v>144</v>
      </c>
      <c r="I22" s="16" t="s">
        <v>1758</v>
      </c>
      <c r="K22" s="16" t="s">
        <v>90</v>
      </c>
      <c r="L22" s="16" t="s">
        <v>43</v>
      </c>
      <c r="M22" s="16" t="s">
        <v>1540</v>
      </c>
      <c r="Q22" s="16" t="s">
        <v>1524</v>
      </c>
      <c r="R22" s="16" t="s">
        <v>1650</v>
      </c>
      <c r="S22" s="16">
        <v>5198.83</v>
      </c>
      <c r="T22" s="16">
        <v>5198.83</v>
      </c>
      <c r="U22" s="16">
        <v>6216</v>
      </c>
      <c r="V22" s="16">
        <v>6216</v>
      </c>
      <c r="W22" s="16">
        <v>5358.6206896552003</v>
      </c>
      <c r="X22" s="16">
        <v>5358.6206896552003</v>
      </c>
      <c r="Y22" s="16">
        <v>1643.4760000000001</v>
      </c>
      <c r="Z22" s="16">
        <v>1.1599999999999999</v>
      </c>
      <c r="AA22" s="16">
        <v>1906.4321600000001</v>
      </c>
      <c r="AB22" s="16">
        <v>10215.846815999999</v>
      </c>
      <c r="AC22" s="16">
        <v>10215.846815999999</v>
      </c>
      <c r="BA22" s="16">
        <v>5198.83</v>
      </c>
      <c r="BB22" s="16">
        <v>5198.83</v>
      </c>
      <c r="BC22" s="16">
        <v>6216</v>
      </c>
      <c r="BD22" s="16">
        <v>6216</v>
      </c>
      <c r="BE22" s="16">
        <v>5358.6206896552003</v>
      </c>
      <c r="BF22" s="16">
        <v>5358.6206896552003</v>
      </c>
      <c r="BG22" s="16">
        <v>1643.4760000000001</v>
      </c>
      <c r="BH22" s="16">
        <v>1.1599999999999999</v>
      </c>
      <c r="BI22" s="16">
        <v>1906.4321600000001</v>
      </c>
      <c r="BJ22" s="16">
        <v>10215.846815999999</v>
      </c>
      <c r="BK22" s="16">
        <v>10215.846815999999</v>
      </c>
      <c r="CI22" s="16">
        <v>5198.83352526</v>
      </c>
      <c r="CJ22" s="16">
        <v>5198.83352526</v>
      </c>
      <c r="CK22" s="16">
        <v>5958.2210979000001</v>
      </c>
      <c r="CL22" s="16">
        <v>5958.2210979000001</v>
      </c>
      <c r="CM22" s="16">
        <v>5136.3974981896999</v>
      </c>
      <c r="CN22" s="16">
        <v>5136.3974981896999</v>
      </c>
      <c r="CO22" s="16">
        <v>1324.2550000000001</v>
      </c>
      <c r="CP22" s="16">
        <v>1.1599999999999999</v>
      </c>
      <c r="CQ22" s="16">
        <v>1536.1358</v>
      </c>
      <c r="CR22" s="16">
        <v>7890.2040799996003</v>
      </c>
      <c r="CS22" s="16">
        <v>7890.2040799996003</v>
      </c>
    </row>
    <row r="23" spans="1:122" ht="9.75" customHeight="1">
      <c r="A23" s="16" t="s">
        <v>145</v>
      </c>
      <c r="B23" s="16" t="s">
        <v>460</v>
      </c>
      <c r="C23" s="16" t="s">
        <v>70</v>
      </c>
      <c r="D23" s="16" t="s">
        <v>70</v>
      </c>
      <c r="E23" s="16" t="s">
        <v>71</v>
      </c>
      <c r="F23" s="16" t="s">
        <v>146</v>
      </c>
      <c r="G23" s="16" t="s">
        <v>40</v>
      </c>
      <c r="H23" s="16" t="s">
        <v>147</v>
      </c>
      <c r="I23" s="16" t="s">
        <v>1758</v>
      </c>
      <c r="K23" s="16" t="s">
        <v>134</v>
      </c>
      <c r="L23" s="16" t="s">
        <v>43</v>
      </c>
      <c r="M23" s="16" t="s">
        <v>1540</v>
      </c>
      <c r="P23" s="16" t="s">
        <v>148</v>
      </c>
      <c r="Q23" s="16" t="s">
        <v>1524</v>
      </c>
      <c r="R23" s="16" t="s">
        <v>1650</v>
      </c>
      <c r="S23" s="16">
        <v>4530.96</v>
      </c>
      <c r="T23" s="16">
        <v>4530.96</v>
      </c>
      <c r="U23" s="16">
        <v>5179.7299999999996</v>
      </c>
      <c r="V23" s="16">
        <v>5179.7299999999996</v>
      </c>
      <c r="W23" s="16">
        <v>4504.1130434782999</v>
      </c>
      <c r="X23" s="16">
        <v>4504.1130434782999</v>
      </c>
      <c r="Y23" s="16">
        <v>40.982999999999997</v>
      </c>
      <c r="Z23" s="16">
        <v>1.1499999999999999</v>
      </c>
      <c r="AA23" s="16">
        <v>47.130450000000003</v>
      </c>
      <c r="AB23" s="16">
        <v>212.28087459</v>
      </c>
      <c r="AC23" s="16">
        <v>212.28087459</v>
      </c>
      <c r="BA23" s="16">
        <v>4530.96</v>
      </c>
      <c r="BB23" s="16">
        <v>4530.96</v>
      </c>
      <c r="BC23" s="16">
        <v>5179.7299999999996</v>
      </c>
      <c r="BD23" s="16">
        <v>5179.7299999999996</v>
      </c>
      <c r="BE23" s="16">
        <v>4504.1130434782999</v>
      </c>
      <c r="BF23" s="16">
        <v>4504.1130434782999</v>
      </c>
      <c r="BG23" s="16">
        <v>40.982999999999997</v>
      </c>
      <c r="BH23" s="16">
        <v>1.1499999999999999</v>
      </c>
      <c r="BI23" s="16">
        <v>47.130450000000003</v>
      </c>
      <c r="BJ23" s="16">
        <v>212.28087459</v>
      </c>
      <c r="BK23" s="16">
        <v>212.28087459</v>
      </c>
      <c r="CI23" s="16">
        <v>4373.97</v>
      </c>
      <c r="CJ23" s="16">
        <v>4373.97</v>
      </c>
      <c r="CK23" s="16">
        <v>5016.2299999999996</v>
      </c>
      <c r="CL23" s="16">
        <v>5016.2299999999996</v>
      </c>
      <c r="CM23" s="16">
        <v>4361.9391304348001</v>
      </c>
      <c r="CN23" s="16">
        <v>4361.9391304348001</v>
      </c>
      <c r="CO23" s="16">
        <v>37.668999999999997</v>
      </c>
      <c r="CP23" s="16">
        <v>1.1499999999999999</v>
      </c>
      <c r="CQ23" s="16">
        <v>43.31935</v>
      </c>
      <c r="CR23" s="16">
        <v>188.95636787000001</v>
      </c>
      <c r="CS23" s="16">
        <v>188.95636787000001</v>
      </c>
    </row>
    <row r="24" spans="1:122" ht="9.75" customHeight="1">
      <c r="A24" s="16" t="s">
        <v>149</v>
      </c>
      <c r="B24" s="16" t="s">
        <v>461</v>
      </c>
      <c r="C24" s="16" t="s">
        <v>85</v>
      </c>
      <c r="D24" s="16" t="s">
        <v>85</v>
      </c>
      <c r="E24" s="16" t="s">
        <v>86</v>
      </c>
      <c r="F24" s="16" t="s">
        <v>150</v>
      </c>
      <c r="G24" s="16" t="s">
        <v>88</v>
      </c>
      <c r="H24" s="16" t="s">
        <v>151</v>
      </c>
      <c r="I24" s="16" t="s">
        <v>1758</v>
      </c>
      <c r="K24" s="16" t="s">
        <v>152</v>
      </c>
      <c r="L24" s="16" t="s">
        <v>43</v>
      </c>
      <c r="M24" s="16" t="s">
        <v>1539</v>
      </c>
      <c r="Q24" s="16" t="s">
        <v>1524</v>
      </c>
      <c r="R24" s="16" t="s">
        <v>1650</v>
      </c>
      <c r="S24" s="16">
        <v>4448.8</v>
      </c>
      <c r="T24" s="16">
        <v>5249.5839999999998</v>
      </c>
      <c r="U24" s="16">
        <v>5093.8</v>
      </c>
      <c r="V24" s="16">
        <v>6010.6840000000002</v>
      </c>
      <c r="W24" s="16">
        <v>4429.3913043477996</v>
      </c>
      <c r="X24" s="16">
        <v>5226.6817391304003</v>
      </c>
      <c r="Y24" s="16">
        <v>616.15</v>
      </c>
      <c r="Z24" s="16">
        <v>1.1499999999999999</v>
      </c>
      <c r="AA24" s="16">
        <v>708.57249999999999</v>
      </c>
      <c r="AB24" s="16">
        <v>3138.5448700000002</v>
      </c>
      <c r="AC24" s="16">
        <v>3703.4829466000001</v>
      </c>
      <c r="BA24" s="16">
        <v>4364.6000000000004</v>
      </c>
      <c r="BB24" s="16">
        <v>5150.2280000000001</v>
      </c>
      <c r="BC24" s="16">
        <v>4987.28</v>
      </c>
      <c r="BD24" s="16">
        <v>5884.9903999999997</v>
      </c>
      <c r="BE24" s="16">
        <v>4336.7652173913002</v>
      </c>
      <c r="BF24" s="16">
        <v>5117.3829565217002</v>
      </c>
      <c r="BG24" s="16">
        <v>415.89</v>
      </c>
      <c r="BH24" s="16">
        <v>1.1499999999999999</v>
      </c>
      <c r="BI24" s="16">
        <v>478.27350000000001</v>
      </c>
      <c r="BJ24" s="16">
        <v>2074.1598792</v>
      </c>
      <c r="BK24" s="16">
        <v>2447.508657456</v>
      </c>
      <c r="CI24" s="16">
        <v>4420.18</v>
      </c>
      <c r="CJ24" s="16">
        <v>5215.8123999999998</v>
      </c>
      <c r="CK24" s="16">
        <v>5067.07</v>
      </c>
      <c r="CL24" s="16">
        <v>5979.1426000000001</v>
      </c>
      <c r="CM24" s="16">
        <v>4406.1478260869999</v>
      </c>
      <c r="CN24" s="16">
        <v>5199.2544347825997</v>
      </c>
      <c r="CO24" s="16">
        <v>272.697</v>
      </c>
      <c r="CP24" s="16">
        <v>1.1499999999999999</v>
      </c>
      <c r="CQ24" s="16">
        <v>313.60154999999997</v>
      </c>
      <c r="CR24" s="16">
        <v>1381.7747877899999</v>
      </c>
      <c r="CS24" s="16">
        <v>1630.4942495922</v>
      </c>
    </row>
    <row r="25" spans="1:122" ht="9.75" customHeight="1">
      <c r="A25" s="16" t="s">
        <v>153</v>
      </c>
      <c r="B25" s="16" t="s">
        <v>462</v>
      </c>
      <c r="C25" s="16" t="s">
        <v>101</v>
      </c>
      <c r="D25" s="16" t="s">
        <v>101</v>
      </c>
      <c r="E25" s="16" t="s">
        <v>102</v>
      </c>
      <c r="F25" s="16" t="s">
        <v>39</v>
      </c>
      <c r="G25" s="16" t="s">
        <v>40</v>
      </c>
      <c r="H25" s="16" t="s">
        <v>41</v>
      </c>
      <c r="I25" s="16" t="s">
        <v>1760</v>
      </c>
      <c r="K25" s="16" t="s">
        <v>154</v>
      </c>
      <c r="L25" s="16" t="s">
        <v>43</v>
      </c>
      <c r="M25" s="16" t="s">
        <v>1539</v>
      </c>
      <c r="Q25" s="16" t="s">
        <v>1524</v>
      </c>
      <c r="R25" s="16" t="s">
        <v>1650</v>
      </c>
      <c r="S25" s="16">
        <v>4429.41</v>
      </c>
      <c r="T25" s="16">
        <v>5226.7038000000002</v>
      </c>
      <c r="U25" s="16">
        <v>4817.72</v>
      </c>
      <c r="V25" s="16">
        <v>5684.9096</v>
      </c>
      <c r="W25" s="16">
        <v>4124.7602739725999</v>
      </c>
      <c r="X25" s="16">
        <v>4867.2171232876999</v>
      </c>
      <c r="Y25" s="16">
        <v>6587.7209999999995</v>
      </c>
      <c r="Z25" s="16">
        <v>1.1679999999999999</v>
      </c>
      <c r="AA25" s="16">
        <v>7694.4581280000002</v>
      </c>
      <c r="AB25" s="16">
        <v>31737.795216120001</v>
      </c>
      <c r="AC25" s="16">
        <v>37450.598355021597</v>
      </c>
      <c r="BA25" s="16">
        <v>4444.55</v>
      </c>
      <c r="BB25" s="16">
        <v>5244.5690000000004</v>
      </c>
      <c r="BC25" s="16">
        <v>4813.8999999999996</v>
      </c>
      <c r="BD25" s="16">
        <v>5680.402</v>
      </c>
      <c r="BE25" s="16">
        <v>4114.4444444443998</v>
      </c>
      <c r="BF25" s="16">
        <v>4855.0444444444001</v>
      </c>
      <c r="BG25" s="16">
        <v>6069.4189999999999</v>
      </c>
      <c r="BH25" s="16">
        <v>1.17</v>
      </c>
      <c r="BI25" s="16">
        <v>7101.2202299999999</v>
      </c>
      <c r="BJ25" s="16">
        <v>29217.5761241</v>
      </c>
      <c r="BK25" s="16">
        <v>34476.739826438003</v>
      </c>
      <c r="CI25" s="16">
        <v>4411.1530000000002</v>
      </c>
      <c r="CJ25" s="16">
        <v>5205.1605399999999</v>
      </c>
      <c r="CK25" s="16">
        <v>4802.04</v>
      </c>
      <c r="CL25" s="16">
        <v>5666.4071999999996</v>
      </c>
      <c r="CM25" s="16">
        <v>4136.8366643693998</v>
      </c>
      <c r="CN25" s="16">
        <v>4881.4672639559003</v>
      </c>
      <c r="CO25" s="16">
        <v>5000.5200000000004</v>
      </c>
      <c r="CP25" s="16">
        <v>1.1608000000000001</v>
      </c>
      <c r="CQ25" s="16">
        <v>5804.6036160000003</v>
      </c>
      <c r="CR25" s="16">
        <v>24012.697060800001</v>
      </c>
      <c r="CS25" s="16">
        <v>28334.982531744001</v>
      </c>
      <c r="DR25" s="16" t="s">
        <v>463</v>
      </c>
    </row>
    <row r="26" spans="1:122" ht="9.75" customHeight="1">
      <c r="A26" s="16" t="s">
        <v>155</v>
      </c>
      <c r="B26" s="16" t="s">
        <v>464</v>
      </c>
      <c r="C26" s="16" t="s">
        <v>101</v>
      </c>
      <c r="D26" s="16" t="s">
        <v>101</v>
      </c>
      <c r="E26" s="16" t="s">
        <v>102</v>
      </c>
      <c r="F26" s="16" t="s">
        <v>39</v>
      </c>
      <c r="G26" s="16" t="s">
        <v>40</v>
      </c>
      <c r="H26" s="16" t="s">
        <v>41</v>
      </c>
      <c r="I26" s="16" t="s">
        <v>1760</v>
      </c>
      <c r="K26" s="16" t="s">
        <v>156</v>
      </c>
      <c r="L26" s="16" t="s">
        <v>43</v>
      </c>
      <c r="M26" s="16" t="s">
        <v>1539</v>
      </c>
      <c r="Q26" s="16" t="s">
        <v>1524</v>
      </c>
      <c r="R26" s="16" t="s">
        <v>1650</v>
      </c>
      <c r="S26" s="16">
        <v>4419.3599999999997</v>
      </c>
      <c r="T26" s="16">
        <v>5214.8447999999999</v>
      </c>
      <c r="U26" s="16">
        <v>4807.43</v>
      </c>
      <c r="V26" s="16">
        <v>5672.7673999999997</v>
      </c>
      <c r="W26" s="16">
        <v>4128.9382721387001</v>
      </c>
      <c r="X26" s="16">
        <v>4872.1471611237002</v>
      </c>
      <c r="Y26" s="16">
        <v>85133.551000000007</v>
      </c>
      <c r="Z26" s="16">
        <v>1.1643259558000001</v>
      </c>
      <c r="AA26" s="16">
        <v>99123.203135689997</v>
      </c>
      <c r="AB26" s="16">
        <v>409273.58708392998</v>
      </c>
      <c r="AC26" s="16">
        <v>482942.83275903802</v>
      </c>
      <c r="BA26" s="16">
        <v>4510.49</v>
      </c>
      <c r="BB26" s="16">
        <v>5322.3782000000001</v>
      </c>
      <c r="BC26" s="16">
        <v>4907.51</v>
      </c>
      <c r="BD26" s="16">
        <v>5790.8617999999997</v>
      </c>
      <c r="BE26" s="16">
        <v>4230.6120689654999</v>
      </c>
      <c r="BF26" s="16">
        <v>4992.1222413793002</v>
      </c>
      <c r="BG26" s="16">
        <v>80258.751999999993</v>
      </c>
      <c r="BH26" s="16">
        <v>1.1599999999999999</v>
      </c>
      <c r="BI26" s="16">
        <v>93100.152319999994</v>
      </c>
      <c r="BJ26" s="16">
        <v>393870.62802752003</v>
      </c>
      <c r="BK26" s="16">
        <v>464767.34107247402</v>
      </c>
      <c r="CI26" s="16">
        <v>4413.0559999999996</v>
      </c>
      <c r="CJ26" s="16">
        <v>5207.4060799999997</v>
      </c>
      <c r="CK26" s="16">
        <v>4800.2920000000004</v>
      </c>
      <c r="CL26" s="16">
        <v>5664.3445599999995</v>
      </c>
      <c r="CM26" s="16">
        <v>4127.5791501144004</v>
      </c>
      <c r="CN26" s="16">
        <v>4870.5433971350003</v>
      </c>
      <c r="CO26" s="16">
        <v>67253.501000000004</v>
      </c>
      <c r="CP26" s="16">
        <v>1.1629799999999999</v>
      </c>
      <c r="CQ26" s="16">
        <v>78214.476592980005</v>
      </c>
      <c r="CR26" s="16">
        <v>322836.44282229198</v>
      </c>
      <c r="CS26" s="16">
        <v>380947.00253030501</v>
      </c>
    </row>
    <row r="27" spans="1:122" ht="9.75" customHeight="1">
      <c r="A27" s="16" t="s">
        <v>157</v>
      </c>
      <c r="B27" s="16" t="s">
        <v>465</v>
      </c>
      <c r="C27" s="16" t="s">
        <v>158</v>
      </c>
      <c r="D27" s="16" t="s">
        <v>159</v>
      </c>
      <c r="E27" s="16" t="s">
        <v>160</v>
      </c>
      <c r="F27" s="16" t="s">
        <v>39</v>
      </c>
      <c r="G27" s="16" t="s">
        <v>40</v>
      </c>
      <c r="H27" s="16" t="s">
        <v>41</v>
      </c>
      <c r="I27" s="16" t="s">
        <v>1759</v>
      </c>
      <c r="K27" s="16" t="s">
        <v>161</v>
      </c>
      <c r="L27" s="16" t="s">
        <v>110</v>
      </c>
      <c r="M27" s="16" t="s">
        <v>1539</v>
      </c>
      <c r="Q27" s="16" t="s">
        <v>1524</v>
      </c>
      <c r="R27" s="16" t="s">
        <v>1650</v>
      </c>
      <c r="S27" s="16">
        <v>4420.3599999999997</v>
      </c>
      <c r="T27" s="16">
        <v>5216.0248000000001</v>
      </c>
      <c r="U27" s="16">
        <v>4420.3599999999997</v>
      </c>
      <c r="V27" s="16">
        <v>5216.0248000000001</v>
      </c>
      <c r="W27" s="16">
        <v>3810.6551724137998</v>
      </c>
      <c r="X27" s="16">
        <v>4496.5731034482997</v>
      </c>
      <c r="Y27" s="16">
        <v>187.27</v>
      </c>
      <c r="Z27" s="16">
        <v>1.1599999999999999</v>
      </c>
      <c r="AA27" s="16">
        <v>217.23320000000001</v>
      </c>
      <c r="AB27" s="16">
        <v>827.80081719999998</v>
      </c>
      <c r="AC27" s="16">
        <v>976.80496429599998</v>
      </c>
      <c r="BA27" s="16">
        <v>4420.3599999999997</v>
      </c>
      <c r="BB27" s="16">
        <v>5216.0248000000001</v>
      </c>
      <c r="BC27" s="16">
        <v>4420.3599999999997</v>
      </c>
      <c r="BD27" s="16">
        <v>5216.0248000000001</v>
      </c>
      <c r="BE27" s="16">
        <v>3810.6551724137998</v>
      </c>
      <c r="BF27" s="16">
        <v>4496.5731034482997</v>
      </c>
      <c r="BG27" s="16">
        <v>187.27</v>
      </c>
      <c r="BH27" s="16">
        <v>1.1599999999999999</v>
      </c>
      <c r="BI27" s="16">
        <v>217.23320000000001</v>
      </c>
      <c r="BJ27" s="16">
        <v>827.80081719999998</v>
      </c>
      <c r="BK27" s="16">
        <v>976.80496429599998</v>
      </c>
      <c r="CI27" s="16">
        <v>4420.04</v>
      </c>
      <c r="CJ27" s="16">
        <v>5215.6472000000003</v>
      </c>
      <c r="CK27" s="16">
        <v>4420.04</v>
      </c>
      <c r="CL27" s="16">
        <v>5215.6472000000003</v>
      </c>
      <c r="CM27" s="16">
        <v>3796.6328809483002</v>
      </c>
      <c r="CN27" s="16">
        <v>4480.0267995189997</v>
      </c>
      <c r="CO27" s="16">
        <v>166.429</v>
      </c>
      <c r="CP27" s="16">
        <v>1.1641999999999999</v>
      </c>
      <c r="CQ27" s="16">
        <v>193.75664180000001</v>
      </c>
      <c r="CR27" s="16">
        <v>735.62283716000002</v>
      </c>
      <c r="CS27" s="16">
        <v>868.03494784880002</v>
      </c>
      <c r="DR27" s="16" t="s">
        <v>466</v>
      </c>
    </row>
    <row r="28" spans="1:122" ht="9.75" customHeight="1">
      <c r="A28" s="16" t="s">
        <v>162</v>
      </c>
      <c r="B28" s="16" t="s">
        <v>467</v>
      </c>
      <c r="C28" s="16" t="s">
        <v>163</v>
      </c>
      <c r="D28" s="16" t="s">
        <v>163</v>
      </c>
      <c r="E28" s="16" t="s">
        <v>164</v>
      </c>
      <c r="F28" s="16" t="s">
        <v>165</v>
      </c>
      <c r="G28" s="16" t="s">
        <v>166</v>
      </c>
      <c r="H28" s="16" t="s">
        <v>167</v>
      </c>
      <c r="I28" s="16" t="s">
        <v>1758</v>
      </c>
      <c r="K28" s="16" t="s">
        <v>168</v>
      </c>
      <c r="L28" s="16" t="s">
        <v>43</v>
      </c>
      <c r="M28" s="16" t="s">
        <v>1539</v>
      </c>
      <c r="Q28" s="16" t="s">
        <v>1524</v>
      </c>
      <c r="R28" s="16" t="s">
        <v>1650</v>
      </c>
      <c r="S28" s="16">
        <v>4633.3900000000003</v>
      </c>
      <c r="T28" s="16">
        <v>5467.4002</v>
      </c>
      <c r="U28" s="16">
        <v>5255.75</v>
      </c>
      <c r="V28" s="16">
        <v>6201.7849999999999</v>
      </c>
      <c r="W28" s="16">
        <v>4530.8189655172</v>
      </c>
      <c r="X28" s="16">
        <v>5346.3663793102996</v>
      </c>
      <c r="Y28" s="16">
        <v>265.87200000000001</v>
      </c>
      <c r="Z28" s="16">
        <v>1.1599999999999999</v>
      </c>
      <c r="AA28" s="16">
        <v>308.41152</v>
      </c>
      <c r="AB28" s="16">
        <v>1397.3567640000001</v>
      </c>
      <c r="AC28" s="16">
        <v>1648.88098152</v>
      </c>
      <c r="BA28" s="16">
        <v>4641.6499999999996</v>
      </c>
      <c r="BB28" s="16">
        <v>5477.1469999999999</v>
      </c>
      <c r="BC28" s="16">
        <v>5264.33</v>
      </c>
      <c r="BD28" s="16">
        <v>6211.9093999999996</v>
      </c>
      <c r="BE28" s="16">
        <v>4577.6782608696003</v>
      </c>
      <c r="BF28" s="16">
        <v>5401.6603478261004</v>
      </c>
      <c r="BG28" s="16">
        <v>250.64599999999999</v>
      </c>
      <c r="BH28" s="16">
        <v>1.1499999999999999</v>
      </c>
      <c r="BI28" s="16">
        <v>288.24290000000002</v>
      </c>
      <c r="BJ28" s="16">
        <v>1319.48325718</v>
      </c>
      <c r="BK28" s="16">
        <v>1556.9902434723999</v>
      </c>
      <c r="CI28" s="16">
        <v>4674.47</v>
      </c>
      <c r="CJ28" s="16">
        <v>5515.8746000000001</v>
      </c>
      <c r="CK28" s="16">
        <v>5297.15</v>
      </c>
      <c r="CL28" s="16">
        <v>6250.6369999999997</v>
      </c>
      <c r="CM28" s="16">
        <v>4566.5086206897004</v>
      </c>
      <c r="CN28" s="16">
        <v>5388.4801724137997</v>
      </c>
      <c r="CO28" s="16">
        <v>210.7612</v>
      </c>
      <c r="CP28" s="16">
        <v>1.1599999999999999</v>
      </c>
      <c r="CQ28" s="16">
        <v>244.482992</v>
      </c>
      <c r="CR28" s="16">
        <v>1116.4336905800001</v>
      </c>
      <c r="CS28" s="16">
        <v>1317.3917548843999</v>
      </c>
    </row>
    <row r="29" spans="1:122" ht="9.75" customHeight="1">
      <c r="A29" s="16" t="s">
        <v>169</v>
      </c>
      <c r="B29" s="16" t="s">
        <v>468</v>
      </c>
      <c r="C29" s="16" t="s">
        <v>170</v>
      </c>
      <c r="D29" s="16" t="s">
        <v>170</v>
      </c>
      <c r="E29" s="16" t="s">
        <v>171</v>
      </c>
      <c r="F29" s="16" t="s">
        <v>172</v>
      </c>
      <c r="G29" s="16" t="s">
        <v>173</v>
      </c>
      <c r="H29" s="16" t="s">
        <v>174</v>
      </c>
      <c r="I29" s="16" t="s">
        <v>1758</v>
      </c>
      <c r="K29" s="16" t="s">
        <v>175</v>
      </c>
      <c r="L29" s="16" t="s">
        <v>43</v>
      </c>
      <c r="M29" s="16" t="s">
        <v>1540</v>
      </c>
      <c r="Q29" s="16" t="s">
        <v>1524</v>
      </c>
      <c r="R29" s="16" t="s">
        <v>1650</v>
      </c>
      <c r="S29" s="16">
        <v>5229.1099999999997</v>
      </c>
      <c r="T29" s="16">
        <v>5229.1099999999997</v>
      </c>
      <c r="U29" s="16">
        <v>5992.62</v>
      </c>
      <c r="V29" s="16">
        <v>5992.62</v>
      </c>
      <c r="W29" s="16">
        <v>5121.8974358974001</v>
      </c>
      <c r="X29" s="16">
        <v>5121.8974358974001</v>
      </c>
      <c r="Y29" s="16">
        <v>2083.3960000000002</v>
      </c>
      <c r="Z29" s="16">
        <v>1.17</v>
      </c>
      <c r="AA29" s="16">
        <v>2437.57332</v>
      </c>
      <c r="AB29" s="16">
        <v>12485.00053752</v>
      </c>
      <c r="AC29" s="16">
        <v>12485.00053752</v>
      </c>
      <c r="BA29" s="16">
        <v>5229.1099999999997</v>
      </c>
      <c r="BB29" s="16">
        <v>5229.1099999999997</v>
      </c>
      <c r="BC29" s="16">
        <v>5992.62</v>
      </c>
      <c r="BD29" s="16">
        <v>5992.62</v>
      </c>
      <c r="BE29" s="16">
        <v>5121.9412131728004</v>
      </c>
      <c r="BF29" s="16">
        <v>5121.9412131728004</v>
      </c>
      <c r="BG29" s="16">
        <v>2083.3960000000002</v>
      </c>
      <c r="BH29" s="16">
        <v>1.1699900000000001</v>
      </c>
      <c r="BI29" s="16">
        <v>2437.5524860400001</v>
      </c>
      <c r="BJ29" s="16">
        <v>12485.00053752</v>
      </c>
      <c r="BK29" s="16">
        <v>12485.00053752</v>
      </c>
      <c r="CI29" s="16">
        <v>5058.12</v>
      </c>
      <c r="CJ29" s="16">
        <v>5058.12</v>
      </c>
      <c r="CK29" s="16">
        <v>5983.06</v>
      </c>
      <c r="CL29" s="16">
        <v>5983.06</v>
      </c>
      <c r="CM29" s="16">
        <v>5113.7264957264997</v>
      </c>
      <c r="CN29" s="16">
        <v>5113.7264957264997</v>
      </c>
      <c r="CO29" s="16">
        <v>1872.432</v>
      </c>
      <c r="CP29" s="16">
        <v>1.17</v>
      </c>
      <c r="CQ29" s="16">
        <v>2190.7454400000001</v>
      </c>
      <c r="CR29" s="16">
        <v>11202.873001919999</v>
      </c>
      <c r="CS29" s="16">
        <v>11202.873001919999</v>
      </c>
    </row>
    <row r="30" spans="1:122" ht="9.75" customHeight="1">
      <c r="A30" s="16" t="s">
        <v>176</v>
      </c>
      <c r="B30" s="16" t="s">
        <v>469</v>
      </c>
      <c r="C30" s="16" t="s">
        <v>177</v>
      </c>
      <c r="D30" s="16" t="s">
        <v>177</v>
      </c>
      <c r="E30" s="16" t="s">
        <v>178</v>
      </c>
      <c r="F30" s="16" t="s">
        <v>179</v>
      </c>
      <c r="G30" s="16" t="s">
        <v>180</v>
      </c>
      <c r="H30" s="16" t="s">
        <v>181</v>
      </c>
      <c r="I30" s="16" t="s">
        <v>1758</v>
      </c>
      <c r="K30" s="16" t="s">
        <v>182</v>
      </c>
      <c r="L30" s="16" t="s">
        <v>43</v>
      </c>
      <c r="M30" s="16" t="s">
        <v>1540</v>
      </c>
      <c r="Q30" s="16" t="s">
        <v>1524</v>
      </c>
      <c r="R30" s="16" t="s">
        <v>1650</v>
      </c>
      <c r="S30" s="16">
        <v>5121.4440000000004</v>
      </c>
      <c r="T30" s="16">
        <v>5121.4440000000004</v>
      </c>
      <c r="U30" s="16">
        <v>5880.2920000000004</v>
      </c>
      <c r="V30" s="16">
        <v>5880.2920000000004</v>
      </c>
      <c r="W30" s="16">
        <v>5113.2973913043998</v>
      </c>
      <c r="X30" s="16">
        <v>5113.2973913043998</v>
      </c>
      <c r="Y30" s="16">
        <v>484.65100000000001</v>
      </c>
      <c r="Z30" s="16">
        <v>1.1499999999999999</v>
      </c>
      <c r="AA30" s="16">
        <v>557.34865000000002</v>
      </c>
      <c r="AB30" s="16">
        <v>2849.8893980920002</v>
      </c>
      <c r="AC30" s="16">
        <v>2849.8893980920002</v>
      </c>
      <c r="BA30" s="16">
        <v>5116.5749999999998</v>
      </c>
      <c r="BB30" s="16">
        <v>5116.5749999999998</v>
      </c>
      <c r="BC30" s="16">
        <v>5882.125</v>
      </c>
      <c r="BD30" s="16">
        <v>5882.125</v>
      </c>
      <c r="BE30" s="16">
        <v>5114.8913043477996</v>
      </c>
      <c r="BF30" s="16">
        <v>5114.8913043477996</v>
      </c>
      <c r="BG30" s="16">
        <v>475.435</v>
      </c>
      <c r="BH30" s="16">
        <v>1.1499999999999999</v>
      </c>
      <c r="BI30" s="16">
        <v>546.75025000000005</v>
      </c>
      <c r="BJ30" s="16">
        <v>2796.5680993750002</v>
      </c>
      <c r="BK30" s="16">
        <v>2796.5680993750002</v>
      </c>
      <c r="CI30" s="16">
        <v>4970.1836000000003</v>
      </c>
      <c r="CJ30" s="16">
        <v>4970.1836000000003</v>
      </c>
      <c r="CK30" s="16">
        <v>5904.558</v>
      </c>
      <c r="CL30" s="16">
        <v>5904.558</v>
      </c>
      <c r="CM30" s="16">
        <v>5134.3982608695997</v>
      </c>
      <c r="CN30" s="16">
        <v>5134.3982608695997</v>
      </c>
      <c r="CO30" s="16">
        <v>397.70100000000002</v>
      </c>
      <c r="CP30" s="16">
        <v>1.1499999999999999</v>
      </c>
      <c r="CQ30" s="16">
        <v>457.35615000000001</v>
      </c>
      <c r="CR30" s="16">
        <v>2348.2486211579999</v>
      </c>
      <c r="CS30" s="16">
        <v>2348.2486211579999</v>
      </c>
    </row>
    <row r="31" spans="1:122" ht="9.75" customHeight="1">
      <c r="A31" s="16" t="s">
        <v>183</v>
      </c>
      <c r="B31" s="16" t="s">
        <v>470</v>
      </c>
      <c r="C31" s="16" t="s">
        <v>184</v>
      </c>
      <c r="D31" s="16" t="s">
        <v>184</v>
      </c>
      <c r="E31" s="16" t="s">
        <v>185</v>
      </c>
      <c r="F31" s="16" t="s">
        <v>186</v>
      </c>
      <c r="G31" s="16" t="s">
        <v>187</v>
      </c>
      <c r="H31" s="16" t="s">
        <v>188</v>
      </c>
      <c r="I31" s="16" t="s">
        <v>1758</v>
      </c>
      <c r="K31" s="16" t="s">
        <v>189</v>
      </c>
      <c r="L31" s="16" t="s">
        <v>43</v>
      </c>
      <c r="M31" s="16" t="s">
        <v>1539</v>
      </c>
      <c r="P31" s="16" t="s">
        <v>190</v>
      </c>
      <c r="Q31" s="16" t="s">
        <v>1524</v>
      </c>
      <c r="R31" s="16" t="s">
        <v>1650</v>
      </c>
      <c r="S31" s="16">
        <v>2199.4180000000001</v>
      </c>
      <c r="T31" s="16">
        <v>2595.31324</v>
      </c>
      <c r="U31" s="16">
        <v>5071.107</v>
      </c>
      <c r="V31" s="16">
        <v>5983.9062599999997</v>
      </c>
      <c r="W31" s="16">
        <v>4371.6439655171998</v>
      </c>
      <c r="X31" s="16">
        <v>5158.5398793103996</v>
      </c>
      <c r="Y31" s="16">
        <v>2199.4180000000001</v>
      </c>
      <c r="Z31" s="16">
        <v>1.1599999999999999</v>
      </c>
      <c r="AA31" s="16">
        <v>2551.3248800000001</v>
      </c>
      <c r="AB31" s="16">
        <v>11153.484015726001</v>
      </c>
      <c r="AC31" s="16">
        <v>13161.1111385567</v>
      </c>
      <c r="BA31" s="16">
        <v>4423</v>
      </c>
      <c r="BB31" s="16">
        <v>5219.1400000000003</v>
      </c>
      <c r="BC31" s="16">
        <v>5069.9480000000003</v>
      </c>
      <c r="BD31" s="16">
        <v>5982.5386399999998</v>
      </c>
      <c r="BE31" s="16">
        <v>4370.6448275862003</v>
      </c>
      <c r="BF31" s="16">
        <v>5157.3608965516996</v>
      </c>
      <c r="BG31" s="16">
        <v>2141</v>
      </c>
      <c r="BH31" s="16">
        <v>1.1599999999999999</v>
      </c>
      <c r="BI31" s="16">
        <v>2483.56</v>
      </c>
      <c r="BJ31" s="16">
        <v>10854.758668</v>
      </c>
      <c r="BK31" s="16">
        <v>12808.61522824</v>
      </c>
      <c r="CI31" s="16">
        <v>4411.3059999999996</v>
      </c>
      <c r="CJ31" s="16">
        <v>5205.3410800000001</v>
      </c>
      <c r="CK31" s="16">
        <v>5058.2579999999998</v>
      </c>
      <c r="CL31" s="16">
        <v>5968.7444400000004</v>
      </c>
      <c r="CM31" s="16">
        <v>4360.5672413793</v>
      </c>
      <c r="CN31" s="16">
        <v>5145.4693448276003</v>
      </c>
      <c r="CO31" s="16">
        <v>1857.231</v>
      </c>
      <c r="CP31" s="16">
        <v>1.1599999999999999</v>
      </c>
      <c r="CQ31" s="16">
        <v>2154.38796</v>
      </c>
      <c r="CR31" s="16">
        <v>9394.3535635980006</v>
      </c>
      <c r="CS31" s="16">
        <v>11085.3372050456</v>
      </c>
    </row>
    <row r="32" spans="1:122" ht="9.75" customHeight="1">
      <c r="A32" s="16" t="s">
        <v>191</v>
      </c>
      <c r="B32" s="16" t="s">
        <v>471</v>
      </c>
      <c r="C32" s="16" t="s">
        <v>46</v>
      </c>
      <c r="D32" s="16" t="s">
        <v>126</v>
      </c>
      <c r="E32" s="16" t="s">
        <v>127</v>
      </c>
      <c r="F32" s="16" t="s">
        <v>192</v>
      </c>
      <c r="G32" s="16" t="s">
        <v>193</v>
      </c>
      <c r="H32" s="16" t="s">
        <v>194</v>
      </c>
      <c r="I32" s="16" t="s">
        <v>1758</v>
      </c>
      <c r="K32" s="16" t="s">
        <v>195</v>
      </c>
      <c r="L32" s="16" t="s">
        <v>43</v>
      </c>
      <c r="M32" s="16" t="s">
        <v>1539</v>
      </c>
      <c r="P32" s="16" t="s">
        <v>194</v>
      </c>
      <c r="Q32" s="16" t="s">
        <v>1524</v>
      </c>
      <c r="R32" s="16" t="s">
        <v>1650</v>
      </c>
      <c r="S32" s="16">
        <v>4379.0262899999998</v>
      </c>
      <c r="T32" s="16">
        <v>5167.2510222000001</v>
      </c>
      <c r="U32" s="16">
        <v>5010.201</v>
      </c>
      <c r="V32" s="16">
        <v>5912.0371800000003</v>
      </c>
      <c r="W32" s="16">
        <v>4356.6965217390998</v>
      </c>
      <c r="X32" s="16">
        <v>5140.9018956522004</v>
      </c>
      <c r="Y32" s="16">
        <v>1812.5340000000001</v>
      </c>
      <c r="Z32" s="16">
        <v>1.1499999999999999</v>
      </c>
      <c r="AA32" s="16">
        <v>2084.4141</v>
      </c>
      <c r="AB32" s="16">
        <v>9081.159659334</v>
      </c>
      <c r="AC32" s="16">
        <v>10715.768398014099</v>
      </c>
      <c r="BA32" s="16">
        <v>4380.6030000000001</v>
      </c>
      <c r="BB32" s="16">
        <v>5169.1115399999999</v>
      </c>
      <c r="BC32" s="16">
        <v>5025.6660000000002</v>
      </c>
      <c r="BD32" s="16">
        <v>5930.2858800000004</v>
      </c>
      <c r="BE32" s="16">
        <v>4351.2259740259997</v>
      </c>
      <c r="BF32" s="16">
        <v>5134.4466493506998</v>
      </c>
      <c r="BG32" s="16">
        <v>1577.05</v>
      </c>
      <c r="BH32" s="16">
        <v>1.155</v>
      </c>
      <c r="BI32" s="16">
        <v>1821.4927499999999</v>
      </c>
      <c r="BJ32" s="16">
        <v>7925.7265653000004</v>
      </c>
      <c r="BK32" s="16">
        <v>9352.3573470539995</v>
      </c>
      <c r="CI32" s="16">
        <v>4383.17</v>
      </c>
      <c r="CJ32" s="16">
        <v>5172.1405999999997</v>
      </c>
      <c r="CK32" s="16">
        <v>5028.2</v>
      </c>
      <c r="CL32" s="16">
        <v>5933.2759999999998</v>
      </c>
      <c r="CM32" s="16">
        <v>4334.6551724137998</v>
      </c>
      <c r="CN32" s="16">
        <v>5114.8931034483003</v>
      </c>
      <c r="CO32" s="16">
        <v>1245.3900000000001</v>
      </c>
      <c r="CP32" s="16">
        <v>1.1599999999999999</v>
      </c>
      <c r="CQ32" s="16">
        <v>1444.6523999999999</v>
      </c>
      <c r="CR32" s="16">
        <v>6262.0699979999999</v>
      </c>
      <c r="CS32" s="16">
        <v>7389.24259764</v>
      </c>
    </row>
    <row r="33" spans="1:123" ht="9.75" customHeight="1">
      <c r="A33" s="16" t="s">
        <v>196</v>
      </c>
      <c r="B33" s="16" t="s">
        <v>472</v>
      </c>
      <c r="C33" s="16" t="s">
        <v>197</v>
      </c>
      <c r="D33" s="16" t="s">
        <v>197</v>
      </c>
      <c r="E33" s="16" t="s">
        <v>198</v>
      </c>
      <c r="F33" s="16" t="s">
        <v>199</v>
      </c>
      <c r="G33" s="16" t="s">
        <v>200</v>
      </c>
      <c r="H33" s="16" t="s">
        <v>201</v>
      </c>
      <c r="I33" s="16" t="s">
        <v>1758</v>
      </c>
      <c r="J33" s="16" t="s">
        <v>202</v>
      </c>
      <c r="K33" s="16" t="s">
        <v>203</v>
      </c>
      <c r="L33" s="16" t="s">
        <v>204</v>
      </c>
      <c r="M33" s="16" t="s">
        <v>1539</v>
      </c>
      <c r="Q33" s="16" t="s">
        <v>1524</v>
      </c>
      <c r="R33" s="16" t="s">
        <v>1650</v>
      </c>
      <c r="S33" s="16">
        <v>4313.1000000000004</v>
      </c>
      <c r="T33" s="16">
        <v>5089.4579999999996</v>
      </c>
      <c r="U33" s="16">
        <v>4595.7</v>
      </c>
      <c r="V33" s="16">
        <v>5422.9260000000004</v>
      </c>
      <c r="W33" s="16">
        <v>3913.5655283998999</v>
      </c>
      <c r="X33" s="16">
        <v>4618.0073235118998</v>
      </c>
      <c r="Y33" s="16">
        <v>30580.423999999999</v>
      </c>
      <c r="Z33" s="16">
        <v>1.1742999999999999</v>
      </c>
      <c r="AA33" s="16">
        <v>35910.591903200002</v>
      </c>
      <c r="AB33" s="16">
        <v>140538.4545768</v>
      </c>
      <c r="AC33" s="16">
        <v>165835.37640062399</v>
      </c>
      <c r="BA33" s="16">
        <v>4309.4879049376004</v>
      </c>
      <c r="BB33" s="16">
        <v>5085.1957278263999</v>
      </c>
      <c r="BC33" s="16">
        <v>4592.0879049375999</v>
      </c>
      <c r="BD33" s="16">
        <v>5418.6637278263997</v>
      </c>
      <c r="BE33" s="16">
        <v>3914.8234483697001</v>
      </c>
      <c r="BF33" s="16">
        <v>4619.4916690762002</v>
      </c>
      <c r="BG33" s="16">
        <v>23553.537</v>
      </c>
      <c r="BH33" s="16">
        <v>1.173</v>
      </c>
      <c r="BI33" s="16">
        <v>27628.298900999998</v>
      </c>
      <c r="BJ33" s="16">
        <v>108159.91237619999</v>
      </c>
      <c r="BK33" s="16">
        <v>127628.696603916</v>
      </c>
      <c r="CI33" s="16">
        <v>4282.21</v>
      </c>
      <c r="CJ33" s="16">
        <v>5053.0078000000003</v>
      </c>
      <c r="CK33" s="16">
        <v>4564.8059999999996</v>
      </c>
      <c r="CL33" s="16">
        <v>5386.4710800000003</v>
      </c>
      <c r="CM33" s="16">
        <v>3919.2496014218</v>
      </c>
      <c r="CN33" s="16">
        <v>4624.7145296776998</v>
      </c>
      <c r="CO33" s="16">
        <v>14977.111000000001</v>
      </c>
      <c r="CP33" s="16">
        <v>1.1647142856999999</v>
      </c>
      <c r="CQ33" s="16">
        <v>17444.055140214601</v>
      </c>
      <c r="CR33" s="16">
        <v>68367.606155465997</v>
      </c>
      <c r="CS33" s="16">
        <v>80673.775263449905</v>
      </c>
    </row>
    <row r="34" spans="1:123" ht="9.75" customHeight="1">
      <c r="A34" s="16" t="s">
        <v>196</v>
      </c>
      <c r="B34" s="16" t="s">
        <v>473</v>
      </c>
      <c r="C34" s="16" t="s">
        <v>197</v>
      </c>
      <c r="D34" s="16" t="s">
        <v>197</v>
      </c>
      <c r="E34" s="16" t="s">
        <v>198</v>
      </c>
      <c r="F34" s="16" t="s">
        <v>199</v>
      </c>
      <c r="G34" s="16" t="s">
        <v>200</v>
      </c>
      <c r="H34" s="16" t="s">
        <v>201</v>
      </c>
      <c r="I34" s="16" t="s">
        <v>1758</v>
      </c>
      <c r="J34" s="16" t="s">
        <v>202</v>
      </c>
      <c r="K34" s="16" t="s">
        <v>203</v>
      </c>
      <c r="L34" s="16" t="s">
        <v>204</v>
      </c>
      <c r="M34" s="16" t="s">
        <v>1539</v>
      </c>
      <c r="Q34" s="16" t="s">
        <v>1524</v>
      </c>
      <c r="R34" s="16" t="s">
        <v>1651</v>
      </c>
      <c r="S34" s="16">
        <v>5476.61</v>
      </c>
      <c r="T34" s="16">
        <v>6462.3998000000001</v>
      </c>
      <c r="U34" s="16">
        <v>5759.21</v>
      </c>
      <c r="V34" s="16">
        <v>6795.8678</v>
      </c>
      <c r="W34" s="16">
        <v>4904.3770757046996</v>
      </c>
      <c r="X34" s="16">
        <v>5787.1649493314999</v>
      </c>
      <c r="Y34" s="16">
        <v>4885.6409999999996</v>
      </c>
      <c r="Z34" s="16">
        <v>1.1742999999999999</v>
      </c>
      <c r="AA34" s="16">
        <v>5737.2082263000002</v>
      </c>
      <c r="AB34" s="16">
        <v>28137.432503610002</v>
      </c>
      <c r="AC34" s="16">
        <v>33202.170354259797</v>
      </c>
      <c r="BA34" s="16">
        <v>5662.6892728799003</v>
      </c>
      <c r="BB34" s="16">
        <v>6681.9733419983004</v>
      </c>
      <c r="BC34" s="16">
        <v>5945.2892728798997</v>
      </c>
      <c r="BD34" s="16">
        <v>7015.4413419983002</v>
      </c>
      <c r="BE34" s="16">
        <v>5068.4478029666998</v>
      </c>
      <c r="BF34" s="16">
        <v>5980.7684075007001</v>
      </c>
      <c r="BG34" s="16">
        <v>3128.3139999999999</v>
      </c>
      <c r="BH34" s="16">
        <v>1.173</v>
      </c>
      <c r="BI34" s="16">
        <v>3669.512322</v>
      </c>
      <c r="BJ34" s="16">
        <v>18598.731666399999</v>
      </c>
      <c r="BK34" s="16">
        <v>21946.503366352001</v>
      </c>
      <c r="CI34" s="16">
        <v>6421.28</v>
      </c>
      <c r="CJ34" s="16">
        <v>7577.1103999999996</v>
      </c>
      <c r="CK34" s="16">
        <v>6703.88</v>
      </c>
      <c r="CL34" s="16">
        <v>7910.5784000000003</v>
      </c>
      <c r="CM34" s="16">
        <v>5755.8150374800998</v>
      </c>
      <c r="CN34" s="16">
        <v>6791.8617442266004</v>
      </c>
      <c r="CO34" s="16">
        <v>1121.51</v>
      </c>
      <c r="CP34" s="16">
        <v>1.1647142856999999</v>
      </c>
      <c r="CQ34" s="16">
        <v>1306.2387185554001</v>
      </c>
      <c r="CR34" s="16">
        <v>7518.4684588</v>
      </c>
      <c r="CS34" s="16">
        <v>8871.7927813839997</v>
      </c>
    </row>
    <row r="35" spans="1:123" ht="9.75" customHeight="1">
      <c r="A35" s="16" t="s">
        <v>196</v>
      </c>
      <c r="B35" s="16" t="s">
        <v>474</v>
      </c>
      <c r="C35" s="16" t="s">
        <v>197</v>
      </c>
      <c r="D35" s="16" t="s">
        <v>197</v>
      </c>
      <c r="E35" s="16" t="s">
        <v>198</v>
      </c>
      <c r="F35" s="16" t="s">
        <v>199</v>
      </c>
      <c r="G35" s="16" t="s">
        <v>200</v>
      </c>
      <c r="H35" s="16" t="s">
        <v>201</v>
      </c>
      <c r="I35" s="16" t="s">
        <v>1758</v>
      </c>
      <c r="J35" s="16" t="s">
        <v>202</v>
      </c>
      <c r="K35" s="16" t="s">
        <v>203</v>
      </c>
      <c r="L35" s="16" t="s">
        <v>204</v>
      </c>
      <c r="M35" s="16" t="s">
        <v>1539</v>
      </c>
      <c r="Q35" s="16" t="s">
        <v>1579</v>
      </c>
      <c r="R35" s="16" t="s">
        <v>1579</v>
      </c>
      <c r="S35" s="16">
        <v>2256.0300000000002</v>
      </c>
      <c r="T35" s="16">
        <v>2662.1154000000001</v>
      </c>
      <c r="U35" s="16">
        <v>2256.0300000000002</v>
      </c>
      <c r="V35" s="16">
        <v>2662.1154000000001</v>
      </c>
      <c r="W35" s="16">
        <v>1636.4645292325999</v>
      </c>
      <c r="X35" s="16">
        <v>1931.0281444944001</v>
      </c>
      <c r="Y35" s="16">
        <v>59.4</v>
      </c>
      <c r="Z35" s="16">
        <v>1.3786</v>
      </c>
      <c r="AA35" s="16">
        <v>81.888840000000002</v>
      </c>
      <c r="AB35" s="16">
        <v>134.00818200000001</v>
      </c>
      <c r="AC35" s="16">
        <v>158.12965475999999</v>
      </c>
    </row>
    <row r="36" spans="1:123" ht="9.75" customHeight="1">
      <c r="A36" s="16" t="s">
        <v>205</v>
      </c>
      <c r="B36" s="16" t="s">
        <v>475</v>
      </c>
      <c r="C36" s="16" t="s">
        <v>136</v>
      </c>
      <c r="D36" s="16" t="s">
        <v>136</v>
      </c>
      <c r="E36" s="16" t="s">
        <v>137</v>
      </c>
      <c r="F36" s="16" t="s">
        <v>206</v>
      </c>
      <c r="G36" s="16" t="s">
        <v>139</v>
      </c>
      <c r="H36" s="16" t="s">
        <v>207</v>
      </c>
      <c r="I36" s="16" t="s">
        <v>1758</v>
      </c>
      <c r="K36" s="16" t="s">
        <v>208</v>
      </c>
      <c r="L36" s="16" t="s">
        <v>110</v>
      </c>
      <c r="M36" s="16" t="s">
        <v>1539</v>
      </c>
      <c r="Q36" s="16" t="s">
        <v>1524</v>
      </c>
      <c r="R36" s="16" t="s">
        <v>1650</v>
      </c>
      <c r="S36" s="16">
        <v>4455.5579322000003</v>
      </c>
      <c r="T36" s="16">
        <v>5257.558359996</v>
      </c>
      <c r="U36" s="16">
        <v>5099.8999999999996</v>
      </c>
      <c r="V36" s="16">
        <v>6017.8819999999996</v>
      </c>
      <c r="W36" s="16">
        <v>4343.1183533357998</v>
      </c>
      <c r="X36" s="16">
        <v>5124.8796569362003</v>
      </c>
      <c r="Y36" s="16">
        <v>3261.83</v>
      </c>
      <c r="Z36" s="16">
        <v>1.1742484513</v>
      </c>
      <c r="AA36" s="16">
        <v>3830.1988257408002</v>
      </c>
      <c r="AB36" s="16">
        <v>16635.006817000001</v>
      </c>
      <c r="AC36" s="16">
        <v>19629.308044059999</v>
      </c>
      <c r="BA36" s="16">
        <v>4325.46</v>
      </c>
      <c r="BB36" s="16">
        <v>5104.0428000000002</v>
      </c>
      <c r="BC36" s="16">
        <v>5097.1400000000003</v>
      </c>
      <c r="BD36" s="16">
        <v>6014.6252000000004</v>
      </c>
      <c r="BE36" s="16">
        <v>4345.3878942882002</v>
      </c>
      <c r="BF36" s="16">
        <v>5127.5577152599999</v>
      </c>
      <c r="BG36" s="16">
        <v>2871.83</v>
      </c>
      <c r="BH36" s="16">
        <v>1.173</v>
      </c>
      <c r="BI36" s="16">
        <v>3368.6565900000001</v>
      </c>
      <c r="BJ36" s="16">
        <v>14638.119566199999</v>
      </c>
      <c r="BK36" s="16">
        <v>17272.981088116001</v>
      </c>
      <c r="CI36" s="16">
        <v>4446.68</v>
      </c>
      <c r="CJ36" s="16">
        <v>5247.0824000000002</v>
      </c>
      <c r="CK36" s="16">
        <v>5091.6899999999996</v>
      </c>
      <c r="CL36" s="16">
        <v>6008.1941999999999</v>
      </c>
      <c r="CM36" s="16">
        <v>4340.7416879795001</v>
      </c>
      <c r="CN36" s="16">
        <v>5122.0751918159003</v>
      </c>
      <c r="CO36" s="16">
        <v>2340.0100000000002</v>
      </c>
      <c r="CP36" s="16">
        <v>1.173</v>
      </c>
      <c r="CQ36" s="16">
        <v>2744.8317299999999</v>
      </c>
      <c r="CR36" s="16">
        <v>11914.605516899999</v>
      </c>
      <c r="CS36" s="16">
        <v>14059.234509942</v>
      </c>
    </row>
    <row r="37" spans="1:123" ht="9.75" customHeight="1">
      <c r="A37" s="16" t="s">
        <v>209</v>
      </c>
      <c r="B37" s="16" t="s">
        <v>476</v>
      </c>
      <c r="C37" s="16" t="s">
        <v>210</v>
      </c>
      <c r="D37" s="16" t="s">
        <v>210</v>
      </c>
      <c r="E37" s="16" t="s">
        <v>211</v>
      </c>
      <c r="F37" s="16" t="s">
        <v>212</v>
      </c>
      <c r="G37" s="16" t="s">
        <v>213</v>
      </c>
      <c r="H37" s="16" t="s">
        <v>214</v>
      </c>
      <c r="I37" s="16" t="s">
        <v>1758</v>
      </c>
      <c r="K37" s="16" t="s">
        <v>215</v>
      </c>
      <c r="L37" s="16" t="s">
        <v>43</v>
      </c>
      <c r="M37" s="16" t="s">
        <v>1540</v>
      </c>
      <c r="P37" s="16" t="s">
        <v>216</v>
      </c>
      <c r="Q37" s="16" t="s">
        <v>1524</v>
      </c>
      <c r="R37" s="16" t="s">
        <v>1650</v>
      </c>
      <c r="S37" s="16">
        <v>5189.92</v>
      </c>
      <c r="T37" s="16">
        <v>5189.92</v>
      </c>
      <c r="U37" s="16">
        <v>5953.96</v>
      </c>
      <c r="V37" s="16">
        <v>5953.96</v>
      </c>
      <c r="W37" s="16">
        <v>5177.3565217390997</v>
      </c>
      <c r="X37" s="16">
        <v>5177.3565217390997</v>
      </c>
      <c r="Y37" s="16">
        <v>1079.74</v>
      </c>
      <c r="Z37" s="16">
        <v>1.1499999999999999</v>
      </c>
      <c r="AA37" s="16">
        <v>1241.701</v>
      </c>
      <c r="AB37" s="16">
        <v>6428.7287704</v>
      </c>
      <c r="AC37" s="16">
        <v>6428.7287704</v>
      </c>
      <c r="BA37" s="16">
        <v>5190.91</v>
      </c>
      <c r="BB37" s="16">
        <v>5190.91</v>
      </c>
      <c r="BC37" s="16">
        <v>5955.03</v>
      </c>
      <c r="BD37" s="16">
        <v>5955.03</v>
      </c>
      <c r="BE37" s="16">
        <v>5178.2869565216997</v>
      </c>
      <c r="BF37" s="16">
        <v>5178.2869565216997</v>
      </c>
      <c r="BG37" s="16">
        <v>1066.69</v>
      </c>
      <c r="BH37" s="16">
        <v>1.1499999999999999</v>
      </c>
      <c r="BI37" s="16">
        <v>1226.6935000000001</v>
      </c>
      <c r="BJ37" s="16">
        <v>6352.1709506999996</v>
      </c>
      <c r="BK37" s="16">
        <v>6352.1709506999996</v>
      </c>
      <c r="CI37" s="16">
        <v>5072.7700000000004</v>
      </c>
      <c r="CJ37" s="16">
        <v>5072.7700000000004</v>
      </c>
      <c r="CK37" s="16">
        <v>5945.48</v>
      </c>
      <c r="CL37" s="16">
        <v>5945.48</v>
      </c>
      <c r="CM37" s="16">
        <v>5169.9826086957</v>
      </c>
      <c r="CN37" s="16">
        <v>5169.9826086957</v>
      </c>
      <c r="CO37" s="16">
        <v>844.84299999999996</v>
      </c>
      <c r="CP37" s="16">
        <v>1.1499999999999999</v>
      </c>
      <c r="CQ37" s="16">
        <v>971.56944999999996</v>
      </c>
      <c r="CR37" s="16">
        <v>5022.9971596400001</v>
      </c>
      <c r="CS37" s="16">
        <v>5022.9971596400001</v>
      </c>
    </row>
    <row r="38" spans="1:123" ht="9.75" customHeight="1">
      <c r="A38" s="16" t="s">
        <v>217</v>
      </c>
      <c r="B38" s="16" t="s">
        <v>477</v>
      </c>
      <c r="C38" s="16" t="s">
        <v>85</v>
      </c>
      <c r="D38" s="16" t="s">
        <v>85</v>
      </c>
      <c r="E38" s="16" t="s">
        <v>86</v>
      </c>
      <c r="F38" s="16" t="s">
        <v>218</v>
      </c>
      <c r="G38" s="16" t="s">
        <v>88</v>
      </c>
      <c r="H38" s="16" t="s">
        <v>219</v>
      </c>
      <c r="I38" s="16" t="s">
        <v>1758</v>
      </c>
      <c r="K38" s="16" t="s">
        <v>220</v>
      </c>
      <c r="L38" s="16" t="s">
        <v>43</v>
      </c>
      <c r="M38" s="16" t="s">
        <v>1539</v>
      </c>
      <c r="Q38" s="16" t="s">
        <v>1524</v>
      </c>
      <c r="R38" s="16" t="s">
        <v>1650</v>
      </c>
      <c r="S38" s="16">
        <v>4439.518</v>
      </c>
      <c r="T38" s="16">
        <v>5238.6312399999997</v>
      </c>
      <c r="U38" s="16">
        <v>5084.5280000000002</v>
      </c>
      <c r="V38" s="16">
        <v>5999.7430400000003</v>
      </c>
      <c r="W38" s="16">
        <v>4337.3130559698002</v>
      </c>
      <c r="X38" s="16">
        <v>5118.0294060443002</v>
      </c>
      <c r="Y38" s="16">
        <v>5626.4129999999996</v>
      </c>
      <c r="Z38" s="16">
        <v>1.1722760000000001</v>
      </c>
      <c r="AA38" s="16">
        <v>6595.7089259880004</v>
      </c>
      <c r="AB38" s="16">
        <v>28607.654438064001</v>
      </c>
      <c r="AC38" s="16">
        <v>33757.032236915496</v>
      </c>
      <c r="BA38" s="16">
        <v>4437.9949999999999</v>
      </c>
      <c r="BB38" s="16">
        <v>5236.8341</v>
      </c>
      <c r="BC38" s="16">
        <v>5083.0050000000001</v>
      </c>
      <c r="BD38" s="16">
        <v>5997.9458999999997</v>
      </c>
      <c r="BE38" s="16">
        <v>4337.8492549796001</v>
      </c>
      <c r="BF38" s="16">
        <v>5118.6621208758997</v>
      </c>
      <c r="BG38" s="16">
        <v>4951.5810000000001</v>
      </c>
      <c r="BH38" s="16">
        <v>1.17178</v>
      </c>
      <c r="BI38" s="16">
        <v>5802.1635841799998</v>
      </c>
      <c r="BJ38" s="16">
        <v>25168.910980904999</v>
      </c>
      <c r="BK38" s="16">
        <v>29699.314957467901</v>
      </c>
      <c r="CI38" s="16">
        <v>4415.4282000000003</v>
      </c>
      <c r="CJ38" s="16">
        <v>5210.2052759999997</v>
      </c>
      <c r="CK38" s="16">
        <v>5060.4381999999996</v>
      </c>
      <c r="CL38" s="16">
        <v>5971.3170760000003</v>
      </c>
      <c r="CM38" s="16">
        <v>4344.5277941566001</v>
      </c>
      <c r="CN38" s="16">
        <v>5126.5427971048002</v>
      </c>
      <c r="CO38" s="16">
        <v>3587.857</v>
      </c>
      <c r="CP38" s="16">
        <v>1.1647844000000001</v>
      </c>
      <c r="CQ38" s="16">
        <v>4179.0798630308</v>
      </c>
      <c r="CR38" s="16">
        <v>18156.1286189374</v>
      </c>
      <c r="CS38" s="16">
        <v>21424.231770346101</v>
      </c>
    </row>
    <row r="39" spans="1:123" ht="9.75" customHeight="1">
      <c r="A39" s="16" t="s">
        <v>221</v>
      </c>
      <c r="B39" s="16" t="s">
        <v>478</v>
      </c>
      <c r="C39" s="16" t="s">
        <v>95</v>
      </c>
      <c r="D39" s="16" t="s">
        <v>95</v>
      </c>
      <c r="E39" s="16" t="s">
        <v>96</v>
      </c>
      <c r="F39" s="16" t="s">
        <v>222</v>
      </c>
      <c r="G39" s="16" t="s">
        <v>223</v>
      </c>
      <c r="H39" s="16" t="s">
        <v>224</v>
      </c>
      <c r="I39" s="16" t="s">
        <v>1758</v>
      </c>
      <c r="J39" s="16" t="s">
        <v>225</v>
      </c>
      <c r="K39" s="16" t="s">
        <v>226</v>
      </c>
      <c r="L39" s="16" t="s">
        <v>204</v>
      </c>
      <c r="M39" s="16" t="s">
        <v>1539</v>
      </c>
      <c r="P39" s="16" t="s">
        <v>227</v>
      </c>
      <c r="Q39" s="16" t="s">
        <v>1524</v>
      </c>
      <c r="R39" s="16" t="s">
        <v>1650</v>
      </c>
      <c r="S39" s="16">
        <v>4420.03</v>
      </c>
      <c r="T39" s="16">
        <v>5215.6354000000001</v>
      </c>
      <c r="U39" s="16">
        <v>4893.8509999999997</v>
      </c>
      <c r="V39" s="16">
        <v>5774.7441799999997</v>
      </c>
      <c r="W39" s="16">
        <v>4182.8507787086</v>
      </c>
      <c r="X39" s="16">
        <v>4935.7639188761996</v>
      </c>
      <c r="Y39" s="16">
        <v>9657.4220000000005</v>
      </c>
      <c r="Z39" s="16">
        <v>1.1699798197</v>
      </c>
      <c r="AA39" s="16">
        <v>11298.988850545</v>
      </c>
      <c r="AB39" s="16">
        <v>47261.984312121996</v>
      </c>
      <c r="AC39" s="16">
        <v>55769.141488303998</v>
      </c>
      <c r="BA39" s="16">
        <v>4417.6499999999996</v>
      </c>
      <c r="BB39" s="16">
        <v>5212.8270000000002</v>
      </c>
      <c r="BC39" s="16">
        <v>4891.8600815179998</v>
      </c>
      <c r="BD39" s="16">
        <v>5772.3948961912001</v>
      </c>
      <c r="BE39" s="16">
        <v>4183.4652697846004</v>
      </c>
      <c r="BF39" s="16">
        <v>4936.4890183459001</v>
      </c>
      <c r="BG39" s="16">
        <v>8738.6520029523999</v>
      </c>
      <c r="BH39" s="16">
        <v>1.1693320647000001</v>
      </c>
      <c r="BI39" s="16">
        <v>10218.3859893071</v>
      </c>
      <c r="BJ39" s="16">
        <v>42748.262899520203</v>
      </c>
      <c r="BK39" s="16">
        <v>50442.950221433799</v>
      </c>
      <c r="CI39" s="16">
        <v>4281.7878140065995</v>
      </c>
      <c r="CJ39" s="16">
        <v>5052.5096205277996</v>
      </c>
      <c r="CK39" s="16">
        <v>4874.8</v>
      </c>
      <c r="CL39" s="16">
        <v>5752.2640000000001</v>
      </c>
      <c r="CM39" s="16">
        <v>4185.4876687034002</v>
      </c>
      <c r="CN39" s="16">
        <v>4938.8754490700003</v>
      </c>
      <c r="CO39" s="16">
        <v>6.9278039520999997</v>
      </c>
      <c r="CP39" s="16">
        <v>1.1646910434</v>
      </c>
      <c r="CQ39" s="16">
        <v>8.0687512134000006</v>
      </c>
      <c r="CR39" s="16">
        <v>33.771658705699998</v>
      </c>
      <c r="CS39" s="16">
        <v>39.850557272700001</v>
      </c>
      <c r="DS39" s="16" t="s">
        <v>225</v>
      </c>
    </row>
    <row r="40" spans="1:123" ht="9.75" customHeight="1">
      <c r="A40" s="16" t="s">
        <v>228</v>
      </c>
      <c r="B40" s="16" t="s">
        <v>479</v>
      </c>
      <c r="C40" s="16" t="s">
        <v>95</v>
      </c>
      <c r="D40" s="16" t="s">
        <v>95</v>
      </c>
      <c r="E40" s="16" t="s">
        <v>96</v>
      </c>
      <c r="F40" s="16" t="s">
        <v>222</v>
      </c>
      <c r="G40" s="16" t="s">
        <v>223</v>
      </c>
      <c r="H40" s="16" t="s">
        <v>224</v>
      </c>
      <c r="I40" s="16" t="s">
        <v>1758</v>
      </c>
      <c r="J40" s="16" t="s">
        <v>229</v>
      </c>
      <c r="K40" s="16" t="s">
        <v>230</v>
      </c>
      <c r="L40" s="16" t="s">
        <v>43</v>
      </c>
      <c r="M40" s="16" t="s">
        <v>1539</v>
      </c>
      <c r="P40" s="16" t="s">
        <v>227</v>
      </c>
      <c r="Q40" s="16" t="s">
        <v>1524</v>
      </c>
      <c r="R40" s="16" t="s">
        <v>1650</v>
      </c>
      <c r="S40" s="16">
        <v>4432.9687000000004</v>
      </c>
      <c r="T40" s="16">
        <v>5230.9030659999999</v>
      </c>
      <c r="U40" s="16">
        <v>4903.2240000000002</v>
      </c>
      <c r="V40" s="16">
        <v>5785.8043200000002</v>
      </c>
      <c r="W40" s="16">
        <v>4181.2887475271</v>
      </c>
      <c r="X40" s="16">
        <v>4933.9207220818998</v>
      </c>
      <c r="Y40" s="16">
        <v>5149.7881633188999</v>
      </c>
      <c r="Z40" s="16">
        <v>1.17265855</v>
      </c>
      <c r="AA40" s="16">
        <v>6038.9431206432</v>
      </c>
      <c r="AB40" s="16">
        <v>25250.564917301301</v>
      </c>
      <c r="AC40" s="16">
        <v>29795.666602415498</v>
      </c>
      <c r="BA40" s="16">
        <v>4426.348</v>
      </c>
      <c r="BB40" s="16">
        <v>5223.0906400000003</v>
      </c>
      <c r="BC40" s="16">
        <v>4900.5584183642004</v>
      </c>
      <c r="BD40" s="16">
        <v>5782.6589336697998</v>
      </c>
      <c r="BE40" s="16">
        <v>4182.4411975764997</v>
      </c>
      <c r="BF40" s="16">
        <v>4935.2806131403004</v>
      </c>
      <c r="BG40" s="16">
        <v>4063.1811633189</v>
      </c>
      <c r="BH40" s="16">
        <v>1.1716981033</v>
      </c>
      <c r="BI40" s="16">
        <v>4760.8216624249999</v>
      </c>
      <c r="BJ40" s="16">
        <v>19911.856655241299</v>
      </c>
      <c r="BK40" s="16">
        <v>23495.9908531847</v>
      </c>
      <c r="CI40" s="16">
        <v>4281.7191294431004</v>
      </c>
      <c r="CJ40" s="16">
        <v>5052.4285727428996</v>
      </c>
      <c r="CK40" s="16">
        <v>4874.7299999999996</v>
      </c>
      <c r="CL40" s="16">
        <v>5752.1814000000004</v>
      </c>
      <c r="CM40" s="16">
        <v>4185.4947204312002</v>
      </c>
      <c r="CN40" s="16">
        <v>4938.8837701087996</v>
      </c>
      <c r="CO40" s="16">
        <v>2.7065041633</v>
      </c>
      <c r="CP40" s="16">
        <v>1.1646723566999999</v>
      </c>
      <c r="CQ40" s="16">
        <v>3.1521905822999998</v>
      </c>
      <c r="CR40" s="16">
        <v>13.193477039999999</v>
      </c>
      <c r="CS40" s="16">
        <v>15.5683029072</v>
      </c>
      <c r="DS40" s="16" t="s">
        <v>480</v>
      </c>
    </row>
    <row r="41" spans="1:123" ht="9.75" customHeight="1">
      <c r="A41" s="16" t="s">
        <v>231</v>
      </c>
      <c r="B41" s="16" t="s">
        <v>481</v>
      </c>
      <c r="C41" s="16" t="s">
        <v>37</v>
      </c>
      <c r="D41" s="16" t="s">
        <v>37</v>
      </c>
      <c r="E41" s="16" t="s">
        <v>38</v>
      </c>
      <c r="F41" s="16" t="s">
        <v>232</v>
      </c>
      <c r="G41" s="16" t="s">
        <v>233</v>
      </c>
      <c r="H41" s="16" t="s">
        <v>234</v>
      </c>
      <c r="I41" s="16" t="s">
        <v>1758</v>
      </c>
      <c r="K41" s="16" t="s">
        <v>235</v>
      </c>
      <c r="L41" s="16" t="s">
        <v>43</v>
      </c>
      <c r="M41" s="16" t="s">
        <v>1540</v>
      </c>
      <c r="Q41" s="16" t="s">
        <v>1524</v>
      </c>
      <c r="R41" s="16" t="s">
        <v>1650</v>
      </c>
      <c r="S41" s="16">
        <v>5286.74</v>
      </c>
      <c r="T41" s="16">
        <v>5286.74</v>
      </c>
      <c r="U41" s="16">
        <v>6021.8717399999996</v>
      </c>
      <c r="V41" s="16">
        <v>6021.8717399999996</v>
      </c>
      <c r="W41" s="16">
        <v>5236.4102086957</v>
      </c>
      <c r="X41" s="16">
        <v>5236.4102086957</v>
      </c>
      <c r="Y41" s="16">
        <v>839.72799999999995</v>
      </c>
      <c r="Z41" s="16">
        <v>1.1499999999999999</v>
      </c>
      <c r="AA41" s="16">
        <v>965.68719999999996</v>
      </c>
      <c r="AB41" s="16">
        <v>5056.7343124867002</v>
      </c>
      <c r="AC41" s="16">
        <v>5056.7343124867002</v>
      </c>
      <c r="BA41" s="16">
        <v>5258.91</v>
      </c>
      <c r="BB41" s="16">
        <v>5258.91</v>
      </c>
      <c r="BC41" s="16">
        <v>6022.64</v>
      </c>
      <c r="BD41" s="16">
        <v>6022.64</v>
      </c>
      <c r="BE41" s="16">
        <v>5237.0782608695999</v>
      </c>
      <c r="BF41" s="16">
        <v>5237.0782608695999</v>
      </c>
      <c r="BG41" s="16">
        <v>834.83900000000006</v>
      </c>
      <c r="BH41" s="16">
        <v>1.1499999999999999</v>
      </c>
      <c r="BI41" s="16">
        <v>960.06484999999998</v>
      </c>
      <c r="BJ41" s="16">
        <v>5027.9347549599997</v>
      </c>
      <c r="BK41" s="16">
        <v>5027.9347549599997</v>
      </c>
      <c r="CI41" s="16">
        <v>5249.4616999999998</v>
      </c>
      <c r="CJ41" s="16">
        <v>5249.4616999999998</v>
      </c>
      <c r="CK41" s="16">
        <v>6011.8675999999996</v>
      </c>
      <c r="CL41" s="16">
        <v>6011.8675999999996</v>
      </c>
      <c r="CM41" s="16">
        <v>5227.7109565216997</v>
      </c>
      <c r="CN41" s="16">
        <v>5227.7109565216997</v>
      </c>
      <c r="CO41" s="16">
        <v>726.17</v>
      </c>
      <c r="CP41" s="16">
        <v>1.1499999999999999</v>
      </c>
      <c r="CQ41" s="16">
        <v>835.09550000000002</v>
      </c>
      <c r="CR41" s="16">
        <v>4365.6378950919998</v>
      </c>
      <c r="CS41" s="16">
        <v>4365.6378950919998</v>
      </c>
    </row>
    <row r="42" spans="1:123" ht="9.75" customHeight="1">
      <c r="A42" s="16" t="s">
        <v>236</v>
      </c>
      <c r="B42" s="16" t="s">
        <v>482</v>
      </c>
      <c r="C42" s="16" t="s">
        <v>237</v>
      </c>
      <c r="D42" s="16" t="s">
        <v>237</v>
      </c>
      <c r="E42" s="16" t="s">
        <v>238</v>
      </c>
      <c r="F42" s="16" t="s">
        <v>239</v>
      </c>
      <c r="G42" s="16" t="s">
        <v>240</v>
      </c>
      <c r="H42" s="16" t="s">
        <v>241</v>
      </c>
      <c r="I42" s="16" t="s">
        <v>1758</v>
      </c>
      <c r="K42" s="16" t="s">
        <v>242</v>
      </c>
      <c r="L42" s="16" t="s">
        <v>43</v>
      </c>
      <c r="M42" s="16" t="s">
        <v>1539</v>
      </c>
      <c r="P42" s="16" t="s">
        <v>243</v>
      </c>
      <c r="Q42" s="16" t="s">
        <v>1524</v>
      </c>
      <c r="R42" s="16" t="s">
        <v>1650</v>
      </c>
      <c r="S42" s="16">
        <v>4443.55</v>
      </c>
      <c r="T42" s="16">
        <v>5243.3890000000001</v>
      </c>
      <c r="U42" s="16">
        <v>5090.2</v>
      </c>
      <c r="V42" s="16">
        <v>6006.4359999999997</v>
      </c>
      <c r="W42" s="16">
        <v>4426.2608695651998</v>
      </c>
      <c r="X42" s="16">
        <v>5222.987826087</v>
      </c>
      <c r="Y42" s="16">
        <v>2513.85</v>
      </c>
      <c r="Z42" s="16">
        <v>1.1499999999999999</v>
      </c>
      <c r="AA42" s="16">
        <v>2890.9274999999998</v>
      </c>
      <c r="AB42" s="16">
        <v>12795.99927</v>
      </c>
      <c r="AC42" s="16">
        <v>15099.279138600001</v>
      </c>
      <c r="BA42" s="16">
        <v>4443.5540000000001</v>
      </c>
      <c r="BB42" s="16">
        <v>5243.39372</v>
      </c>
      <c r="BC42" s="16">
        <v>5090.2008900000001</v>
      </c>
      <c r="BD42" s="16">
        <v>6006.4370502000002</v>
      </c>
      <c r="BE42" s="16">
        <v>4426.2616434783004</v>
      </c>
      <c r="BF42" s="16">
        <v>5222.9887393044</v>
      </c>
      <c r="BG42" s="16">
        <v>2513.8490000000002</v>
      </c>
      <c r="BH42" s="16">
        <v>1.1499999999999999</v>
      </c>
      <c r="BI42" s="16">
        <v>2890.9263500000002</v>
      </c>
      <c r="BJ42" s="16">
        <v>12795.9964171256</v>
      </c>
      <c r="BK42" s="16">
        <v>15099.275772208201</v>
      </c>
      <c r="CI42" s="16">
        <v>4443.5540000000001</v>
      </c>
      <c r="CJ42" s="16">
        <v>5243.39372</v>
      </c>
      <c r="CK42" s="16">
        <v>5090.2008900000001</v>
      </c>
      <c r="CL42" s="16">
        <v>6006.4370502000002</v>
      </c>
      <c r="CM42" s="16">
        <v>4426.2616434783004</v>
      </c>
      <c r="CN42" s="16">
        <v>5222.9887393044</v>
      </c>
      <c r="CO42" s="16">
        <v>2513.8490000000002</v>
      </c>
      <c r="CP42" s="16">
        <v>1.1499999999999999</v>
      </c>
      <c r="CQ42" s="16">
        <v>2890.9263500000002</v>
      </c>
      <c r="CR42" s="16">
        <v>12795.9964171256</v>
      </c>
      <c r="CS42" s="16">
        <v>15099.275772208201</v>
      </c>
    </row>
    <row r="43" spans="1:123" ht="9.75" customHeight="1">
      <c r="A43" s="16" t="s">
        <v>244</v>
      </c>
      <c r="B43" s="16" t="s">
        <v>483</v>
      </c>
      <c r="C43" s="16" t="s">
        <v>245</v>
      </c>
      <c r="D43" s="16" t="s">
        <v>245</v>
      </c>
      <c r="E43" s="16" t="s">
        <v>246</v>
      </c>
      <c r="F43" s="16" t="s">
        <v>247</v>
      </c>
      <c r="G43" s="16" t="s">
        <v>248</v>
      </c>
      <c r="H43" s="16" t="s">
        <v>249</v>
      </c>
      <c r="I43" s="16" t="s">
        <v>1758</v>
      </c>
      <c r="K43" s="16" t="s">
        <v>250</v>
      </c>
      <c r="L43" s="16" t="s">
        <v>43</v>
      </c>
      <c r="M43" s="16" t="s">
        <v>1540</v>
      </c>
      <c r="Q43" s="16" t="s">
        <v>1524</v>
      </c>
      <c r="R43" s="16" t="s">
        <v>1650</v>
      </c>
      <c r="S43" s="16">
        <v>5320.15</v>
      </c>
      <c r="T43" s="16">
        <v>5320.15</v>
      </c>
      <c r="U43" s="16">
        <v>6084.37</v>
      </c>
      <c r="V43" s="16">
        <v>6084.37</v>
      </c>
      <c r="W43" s="16">
        <v>5200.3162393162002</v>
      </c>
      <c r="X43" s="16">
        <v>5200.3162393162002</v>
      </c>
      <c r="Y43" s="16">
        <v>874.54</v>
      </c>
      <c r="Z43" s="16">
        <v>1.17</v>
      </c>
      <c r="AA43" s="16">
        <v>1023.2118</v>
      </c>
      <c r="AB43" s="16">
        <v>5321.0249397999996</v>
      </c>
      <c r="AC43" s="16">
        <v>5321.0249397999996</v>
      </c>
      <c r="BA43" s="16">
        <v>5320.15</v>
      </c>
      <c r="BB43" s="16">
        <v>5320.15</v>
      </c>
      <c r="BC43" s="16">
        <v>6084.37</v>
      </c>
      <c r="BD43" s="16">
        <v>6084.37</v>
      </c>
      <c r="BE43" s="16">
        <v>5200.3162393162002</v>
      </c>
      <c r="BF43" s="16">
        <v>5200.3162393162002</v>
      </c>
      <c r="BG43" s="16">
        <v>874.10199999999998</v>
      </c>
      <c r="BH43" s="16">
        <v>1.17</v>
      </c>
      <c r="BI43" s="16">
        <v>1022.69934</v>
      </c>
      <c r="BJ43" s="16">
        <v>5318.3599857400004</v>
      </c>
      <c r="BK43" s="16">
        <v>5318.3599857400004</v>
      </c>
      <c r="CI43" s="16">
        <v>4553.25</v>
      </c>
      <c r="CJ43" s="16">
        <v>4553.25</v>
      </c>
      <c r="CK43" s="16">
        <v>5317.47</v>
      </c>
      <c r="CL43" s="16">
        <v>5317.47</v>
      </c>
      <c r="CM43" s="16">
        <v>4544.8461538461997</v>
      </c>
      <c r="CN43" s="16">
        <v>4544.8461538461997</v>
      </c>
      <c r="CO43" s="16">
        <v>775.23900000000003</v>
      </c>
      <c r="CP43" s="16">
        <v>1.17</v>
      </c>
      <c r="CQ43" s="16">
        <v>907.02963</v>
      </c>
      <c r="CR43" s="16">
        <v>4122.3101253300001</v>
      </c>
      <c r="CS43" s="16">
        <v>4122.3101253300001</v>
      </c>
    </row>
    <row r="44" spans="1:123" ht="9.75" customHeight="1">
      <c r="A44" s="16" t="s">
        <v>251</v>
      </c>
      <c r="B44" s="16" t="s">
        <v>484</v>
      </c>
      <c r="C44" s="16" t="s">
        <v>197</v>
      </c>
      <c r="D44" s="16" t="s">
        <v>197</v>
      </c>
      <c r="E44" s="16" t="s">
        <v>198</v>
      </c>
      <c r="F44" s="16" t="s">
        <v>252</v>
      </c>
      <c r="G44" s="16" t="s">
        <v>253</v>
      </c>
      <c r="H44" s="16" t="s">
        <v>254</v>
      </c>
      <c r="I44" s="16" t="s">
        <v>1758</v>
      </c>
      <c r="K44" s="16" t="s">
        <v>255</v>
      </c>
      <c r="L44" s="16" t="s">
        <v>110</v>
      </c>
      <c r="M44" s="16" t="s">
        <v>1540</v>
      </c>
      <c r="Q44" s="16" t="s">
        <v>1524</v>
      </c>
      <c r="R44" s="16" t="s">
        <v>1650</v>
      </c>
      <c r="S44" s="16">
        <v>5245.66</v>
      </c>
      <c r="T44" s="16">
        <v>5245.66</v>
      </c>
      <c r="U44" s="16">
        <v>5499.55</v>
      </c>
      <c r="V44" s="16">
        <v>5499.55</v>
      </c>
      <c r="W44" s="16">
        <v>4691.6481829039003</v>
      </c>
      <c r="X44" s="16">
        <v>4691.6481829039003</v>
      </c>
      <c r="Y44" s="16">
        <v>68.27</v>
      </c>
      <c r="Z44" s="16">
        <v>1.1721999999999999</v>
      </c>
      <c r="AA44" s="16">
        <v>80.026094000000001</v>
      </c>
      <c r="AB44" s="16">
        <v>375.45427849999999</v>
      </c>
      <c r="AC44" s="16">
        <v>375.45427849999999</v>
      </c>
      <c r="BA44" s="16">
        <v>5243</v>
      </c>
      <c r="BB44" s="16">
        <v>5243</v>
      </c>
      <c r="BC44" s="16">
        <v>5497.79</v>
      </c>
      <c r="BD44" s="16">
        <v>5497.79</v>
      </c>
      <c r="BE44" s="16">
        <v>4692.5486514168997</v>
      </c>
      <c r="BF44" s="16">
        <v>4692.5486514168997</v>
      </c>
      <c r="BG44" s="16">
        <v>60.63</v>
      </c>
      <c r="BH44" s="16">
        <v>1.1716</v>
      </c>
      <c r="BI44" s="16">
        <v>71.034108000000003</v>
      </c>
      <c r="BJ44" s="16">
        <v>333.33100769999999</v>
      </c>
      <c r="BK44" s="16">
        <v>333.33100769999999</v>
      </c>
      <c r="CI44" s="16">
        <v>5214.5200000000004</v>
      </c>
      <c r="CJ44" s="16">
        <v>5214.5200000000004</v>
      </c>
      <c r="CK44" s="16">
        <v>5468.41</v>
      </c>
      <c r="CL44" s="16">
        <v>5468.41</v>
      </c>
      <c r="CM44" s="16">
        <v>4694.3171087646997</v>
      </c>
      <c r="CN44" s="16">
        <v>4694.3171087646997</v>
      </c>
      <c r="CO44" s="16">
        <v>42.09</v>
      </c>
      <c r="CP44" s="16">
        <v>1.1649</v>
      </c>
      <c r="CQ44" s="16">
        <v>49.030641000000003</v>
      </c>
      <c r="CR44" s="16">
        <v>230.16537690000001</v>
      </c>
      <c r="CS44" s="16">
        <v>230.16537690000001</v>
      </c>
    </row>
    <row r="45" spans="1:123" ht="9.75" customHeight="1">
      <c r="A45" s="16" t="s">
        <v>256</v>
      </c>
      <c r="B45" s="16" t="s">
        <v>485</v>
      </c>
      <c r="C45" s="16" t="s">
        <v>163</v>
      </c>
      <c r="D45" s="16" t="s">
        <v>163</v>
      </c>
      <c r="E45" s="16" t="s">
        <v>164</v>
      </c>
      <c r="F45" s="16" t="s">
        <v>257</v>
      </c>
      <c r="G45" s="16" t="s">
        <v>166</v>
      </c>
      <c r="H45" s="16" t="s">
        <v>258</v>
      </c>
      <c r="I45" s="16" t="s">
        <v>1758</v>
      </c>
      <c r="K45" s="16" t="s">
        <v>259</v>
      </c>
      <c r="L45" s="16" t="s">
        <v>43</v>
      </c>
      <c r="M45" s="16" t="s">
        <v>1539</v>
      </c>
      <c r="P45" s="16" t="s">
        <v>260</v>
      </c>
      <c r="Q45" s="16" t="s">
        <v>1524</v>
      </c>
      <c r="R45" s="16" t="s">
        <v>1650</v>
      </c>
      <c r="S45" s="16">
        <v>4426.7719999999999</v>
      </c>
      <c r="T45" s="16">
        <v>5223.5909600000005</v>
      </c>
      <c r="U45" s="16">
        <v>4927.57</v>
      </c>
      <c r="V45" s="16">
        <v>5814.5325999999995</v>
      </c>
      <c r="W45" s="16">
        <v>4211.5982905983001</v>
      </c>
      <c r="X45" s="16">
        <v>4969.6859829060004</v>
      </c>
      <c r="Y45" s="16">
        <v>17322.25</v>
      </c>
      <c r="Z45" s="16">
        <v>1.17</v>
      </c>
      <c r="AA45" s="16">
        <v>20267.032500000001</v>
      </c>
      <c r="AB45" s="16">
        <v>85356.599432500007</v>
      </c>
      <c r="AC45" s="16">
        <v>100720.78733034999</v>
      </c>
      <c r="BA45" s="16">
        <v>4423.8319179999999</v>
      </c>
      <c r="BB45" s="16">
        <v>5220.1216632400001</v>
      </c>
      <c r="BC45" s="16">
        <v>4923.9009999999998</v>
      </c>
      <c r="BD45" s="16">
        <v>5810.2031800000004</v>
      </c>
      <c r="BE45" s="16">
        <v>4212.0624465355004</v>
      </c>
      <c r="BF45" s="16">
        <v>4970.2336869118999</v>
      </c>
      <c r="BG45" s="16">
        <v>15195.34</v>
      </c>
      <c r="BH45" s="16">
        <v>1.169</v>
      </c>
      <c r="BI45" s="16">
        <v>17763.352459999998</v>
      </c>
      <c r="BJ45" s="16">
        <v>74820.349821340002</v>
      </c>
      <c r="BK45" s="16">
        <v>88288.012789181201</v>
      </c>
      <c r="CI45" s="16">
        <v>4404.2969999999996</v>
      </c>
      <c r="CJ45" s="16">
        <v>5197.0704599999999</v>
      </c>
      <c r="CK45" s="16">
        <v>4904.57</v>
      </c>
      <c r="CL45" s="16">
        <v>5787.3926000000001</v>
      </c>
      <c r="CM45" s="16">
        <v>4228.0775862069004</v>
      </c>
      <c r="CN45" s="16">
        <v>4989.1315517241001</v>
      </c>
      <c r="CO45" s="16">
        <v>11653.96</v>
      </c>
      <c r="CP45" s="16">
        <v>1.1599999999999999</v>
      </c>
      <c r="CQ45" s="16">
        <v>13518.5936</v>
      </c>
      <c r="CR45" s="16">
        <v>57157.662597199997</v>
      </c>
      <c r="CS45" s="16">
        <v>67446.041864696002</v>
      </c>
    </row>
    <row r="46" spans="1:123" ht="9.75" customHeight="1">
      <c r="A46" s="16" t="s">
        <v>261</v>
      </c>
      <c r="B46" s="16" t="s">
        <v>486</v>
      </c>
      <c r="C46" s="16" t="s">
        <v>262</v>
      </c>
      <c r="D46" s="16" t="s">
        <v>263</v>
      </c>
      <c r="E46" s="16" t="s">
        <v>264</v>
      </c>
      <c r="F46" s="16" t="s">
        <v>265</v>
      </c>
      <c r="G46" s="16" t="s">
        <v>266</v>
      </c>
      <c r="H46" s="16" t="s">
        <v>267</v>
      </c>
      <c r="I46" s="16" t="s">
        <v>1758</v>
      </c>
      <c r="K46" s="16" t="s">
        <v>268</v>
      </c>
      <c r="L46" s="16" t="s">
        <v>110</v>
      </c>
      <c r="M46" s="16" t="s">
        <v>1540</v>
      </c>
      <c r="P46" s="16" t="s">
        <v>269</v>
      </c>
      <c r="Q46" s="16" t="s">
        <v>1524</v>
      </c>
      <c r="R46" s="16" t="s">
        <v>1650</v>
      </c>
      <c r="S46" s="16">
        <v>5190.1984000000002</v>
      </c>
      <c r="T46" s="16">
        <v>5190.1984000000002</v>
      </c>
      <c r="U46" s="16">
        <v>5954.65</v>
      </c>
      <c r="V46" s="16">
        <v>5954.65</v>
      </c>
      <c r="W46" s="16">
        <v>5177.9565217391</v>
      </c>
      <c r="X46" s="16">
        <v>5177.9565217391</v>
      </c>
      <c r="Y46" s="16">
        <v>51.01</v>
      </c>
      <c r="Z46" s="16">
        <v>1.1499999999999999</v>
      </c>
      <c r="AA46" s="16">
        <v>58.661499999999997</v>
      </c>
      <c r="AB46" s="16">
        <v>303.74669649999998</v>
      </c>
      <c r="AC46" s="16">
        <v>303.74669649999998</v>
      </c>
      <c r="BA46" s="16">
        <v>5189.9995993830998</v>
      </c>
      <c r="BB46" s="16">
        <v>5189.9995993830998</v>
      </c>
      <c r="BC46" s="16">
        <v>5955.5481441419997</v>
      </c>
      <c r="BD46" s="16">
        <v>5955.5481441419997</v>
      </c>
      <c r="BE46" s="16">
        <v>5178.7375166452002</v>
      </c>
      <c r="BF46" s="16">
        <v>5178.7375166452002</v>
      </c>
      <c r="BG46" s="16">
        <v>49.923000000000002</v>
      </c>
      <c r="BH46" s="16">
        <v>1.1499999999999999</v>
      </c>
      <c r="BI46" s="16">
        <v>57.411450000000002</v>
      </c>
      <c r="BJ46" s="16">
        <v>297.31882999999999</v>
      </c>
      <c r="BK46" s="16">
        <v>297.31882999999999</v>
      </c>
      <c r="CI46" s="16">
        <v>5017.55</v>
      </c>
      <c r="CJ46" s="16">
        <v>5017.55</v>
      </c>
      <c r="CK46" s="16">
        <v>5948.18</v>
      </c>
      <c r="CL46" s="16">
        <v>5948.18</v>
      </c>
      <c r="CM46" s="16">
        <v>5172.3304347825997</v>
      </c>
      <c r="CN46" s="16">
        <v>5172.3304347825997</v>
      </c>
      <c r="CO46" s="16">
        <v>40.832999999999998</v>
      </c>
      <c r="CP46" s="16">
        <v>1.1499999999999999</v>
      </c>
      <c r="CQ46" s="16">
        <v>46.957949999999997</v>
      </c>
      <c r="CR46" s="16">
        <v>242.88203394000001</v>
      </c>
      <c r="CS46" s="16">
        <v>242.88203394000001</v>
      </c>
    </row>
    <row r="47" spans="1:123" ht="9.75" customHeight="1">
      <c r="A47" s="16" t="s">
        <v>270</v>
      </c>
      <c r="B47" s="16" t="s">
        <v>487</v>
      </c>
      <c r="C47" s="16" t="s">
        <v>271</v>
      </c>
      <c r="D47" s="16" t="s">
        <v>271</v>
      </c>
      <c r="E47" s="16" t="s">
        <v>272</v>
      </c>
      <c r="F47" s="16" t="s">
        <v>273</v>
      </c>
      <c r="G47" s="16" t="s">
        <v>274</v>
      </c>
      <c r="H47" s="16" t="s">
        <v>275</v>
      </c>
      <c r="I47" s="16" t="s">
        <v>1758</v>
      </c>
      <c r="K47" s="16" t="s">
        <v>276</v>
      </c>
      <c r="L47" s="16" t="s">
        <v>43</v>
      </c>
      <c r="M47" s="16" t="s">
        <v>1539</v>
      </c>
      <c r="P47" s="16" t="s">
        <v>277</v>
      </c>
      <c r="Q47" s="16" t="s">
        <v>1524</v>
      </c>
      <c r="R47" s="16" t="s">
        <v>1650</v>
      </c>
      <c r="S47" s="16">
        <v>4435.7290000000003</v>
      </c>
      <c r="T47" s="16">
        <v>5234.1602199999998</v>
      </c>
      <c r="U47" s="16">
        <v>4973.9669999999996</v>
      </c>
      <c r="V47" s="16">
        <v>5869.2810600000003</v>
      </c>
      <c r="W47" s="16">
        <v>4252.3441908182003</v>
      </c>
      <c r="X47" s="16">
        <v>5017.7661451654003</v>
      </c>
      <c r="Y47" s="16">
        <v>26510.647000000001</v>
      </c>
      <c r="Z47" s="16">
        <v>1.1697</v>
      </c>
      <c r="AA47" s="16">
        <v>31009.5037959</v>
      </c>
      <c r="AB47" s="16">
        <v>131863.08332664901</v>
      </c>
      <c r="AC47" s="16">
        <v>155598.43832544601</v>
      </c>
      <c r="BA47" s="16">
        <v>4433.32</v>
      </c>
      <c r="BB47" s="16">
        <v>5231.3176000000003</v>
      </c>
      <c r="BC47" s="16">
        <v>4988.92</v>
      </c>
      <c r="BD47" s="16">
        <v>5886.9255999999996</v>
      </c>
      <c r="BE47" s="16">
        <v>4267.6817792986003</v>
      </c>
      <c r="BF47" s="16">
        <v>5035.8644995722998</v>
      </c>
      <c r="BG47" s="16">
        <v>23936.938999999998</v>
      </c>
      <c r="BH47" s="16">
        <v>1.169</v>
      </c>
      <c r="BI47" s="16">
        <v>27982.281691</v>
      </c>
      <c r="BJ47" s="16">
        <v>119419.47371588</v>
      </c>
      <c r="BK47" s="16">
        <v>140914.978984738</v>
      </c>
      <c r="CI47" s="16">
        <v>4415.3999999999996</v>
      </c>
      <c r="CJ47" s="16">
        <v>5210.1719999999996</v>
      </c>
      <c r="CK47" s="16">
        <v>4970.6039000000001</v>
      </c>
      <c r="CL47" s="16">
        <v>5865.312602</v>
      </c>
      <c r="CM47" s="16">
        <v>4270.2782646047999</v>
      </c>
      <c r="CN47" s="16">
        <v>5038.9283522337</v>
      </c>
      <c r="CO47" s="16">
        <v>18775.616999999998</v>
      </c>
      <c r="CP47" s="16">
        <v>1.1639999999999999</v>
      </c>
      <c r="CQ47" s="16">
        <v>21854.818188000001</v>
      </c>
      <c r="CR47" s="16">
        <v>93326.155085106293</v>
      </c>
      <c r="CS47" s="16">
        <v>110124.863000425</v>
      </c>
    </row>
    <row r="48" spans="1:123" ht="9.75" customHeight="1">
      <c r="A48" s="16" t="s">
        <v>278</v>
      </c>
      <c r="B48" s="16" t="s">
        <v>488</v>
      </c>
      <c r="C48" s="16" t="s">
        <v>136</v>
      </c>
      <c r="D48" s="16" t="s">
        <v>136</v>
      </c>
      <c r="E48" s="16" t="s">
        <v>137</v>
      </c>
      <c r="F48" s="16" t="s">
        <v>279</v>
      </c>
      <c r="G48" s="16" t="s">
        <v>280</v>
      </c>
      <c r="H48" s="16" t="s">
        <v>281</v>
      </c>
      <c r="I48" s="16" t="s">
        <v>1758</v>
      </c>
      <c r="K48" s="16" t="s">
        <v>282</v>
      </c>
      <c r="L48" s="16" t="s">
        <v>110</v>
      </c>
      <c r="M48" s="16" t="s">
        <v>1539</v>
      </c>
      <c r="Q48" s="16" t="s">
        <v>1524</v>
      </c>
      <c r="R48" s="16" t="s">
        <v>1650</v>
      </c>
      <c r="S48" s="16">
        <v>4420.62</v>
      </c>
      <c r="T48" s="16">
        <v>5216.3316000000004</v>
      </c>
      <c r="U48" s="16">
        <v>4891.7299999999996</v>
      </c>
      <c r="V48" s="16">
        <v>5772.2413999999999</v>
      </c>
      <c r="W48" s="16">
        <v>4161.4036580178999</v>
      </c>
      <c r="X48" s="16">
        <v>4910.4563164611</v>
      </c>
      <c r="Y48" s="16">
        <v>6657.97</v>
      </c>
      <c r="Z48" s="16">
        <v>1.1755</v>
      </c>
      <c r="AA48" s="16">
        <v>7826.4437349999998</v>
      </c>
      <c r="AB48" s="16">
        <v>32568.991588100002</v>
      </c>
      <c r="AC48" s="16">
        <v>38431.410073958003</v>
      </c>
      <c r="BA48" s="16">
        <v>4413.67</v>
      </c>
      <c r="BB48" s="16">
        <v>5208.1306000000004</v>
      </c>
      <c r="BC48" s="16">
        <v>4884.88</v>
      </c>
      <c r="BD48" s="16">
        <v>5764.1584000000003</v>
      </c>
      <c r="BE48" s="16">
        <v>4175.1111111111004</v>
      </c>
      <c r="BF48" s="16">
        <v>4926.6311111110999</v>
      </c>
      <c r="BG48" s="16">
        <v>5844.43</v>
      </c>
      <c r="BH48" s="16">
        <v>1.17</v>
      </c>
      <c r="BI48" s="16">
        <v>6837.9831000000004</v>
      </c>
      <c r="BJ48" s="16">
        <v>28549.3392184</v>
      </c>
      <c r="BK48" s="16">
        <v>33688.220277711996</v>
      </c>
      <c r="CI48" s="16">
        <v>4400.49</v>
      </c>
      <c r="CJ48" s="16">
        <v>5192.5781999999999</v>
      </c>
      <c r="CK48" s="16">
        <v>4874.7</v>
      </c>
      <c r="CL48" s="16">
        <v>5752.1459999999997</v>
      </c>
      <c r="CM48" s="16">
        <v>4180.7032590052004</v>
      </c>
      <c r="CN48" s="16">
        <v>4933.2298456260996</v>
      </c>
      <c r="CO48" s="16">
        <v>4734.7</v>
      </c>
      <c r="CP48" s="16">
        <v>1.1659999999999999</v>
      </c>
      <c r="CQ48" s="16">
        <v>5520.6602000000003</v>
      </c>
      <c r="CR48" s="16">
        <v>23080.24209</v>
      </c>
      <c r="CS48" s="16">
        <v>27234.685666199999</v>
      </c>
    </row>
    <row r="49" spans="1:123" ht="9.75" customHeight="1">
      <c r="A49" s="16" t="s">
        <v>283</v>
      </c>
      <c r="B49" s="16" t="s">
        <v>489</v>
      </c>
      <c r="C49" s="16" t="s">
        <v>70</v>
      </c>
      <c r="D49" s="16" t="s">
        <v>70</v>
      </c>
      <c r="E49" s="16" t="s">
        <v>71</v>
      </c>
      <c r="F49" s="16" t="s">
        <v>284</v>
      </c>
      <c r="G49" s="16" t="s">
        <v>40</v>
      </c>
      <c r="H49" s="16" t="s">
        <v>285</v>
      </c>
      <c r="I49" s="16" t="s">
        <v>1758</v>
      </c>
      <c r="K49" s="16" t="s">
        <v>286</v>
      </c>
      <c r="L49" s="16" t="s">
        <v>43</v>
      </c>
      <c r="M49" s="16" t="s">
        <v>1539</v>
      </c>
      <c r="P49" s="16" t="s">
        <v>287</v>
      </c>
      <c r="Q49" s="16" t="s">
        <v>1524</v>
      </c>
      <c r="R49" s="16" t="s">
        <v>1650</v>
      </c>
      <c r="S49" s="16">
        <v>4424.76</v>
      </c>
      <c r="T49" s="16">
        <v>5221.2168000000001</v>
      </c>
      <c r="U49" s="16">
        <v>4796.8219630000003</v>
      </c>
      <c r="V49" s="16">
        <v>5660.2499163399998</v>
      </c>
      <c r="W49" s="16">
        <v>4109.5465370730999</v>
      </c>
      <c r="X49" s="16">
        <v>4849.2649137462004</v>
      </c>
      <c r="Y49" s="16">
        <v>144841.58799999999</v>
      </c>
      <c r="Z49" s="16">
        <v>1.1672387500000001</v>
      </c>
      <c r="AA49" s="16">
        <v>169064.71412513501</v>
      </c>
      <c r="AB49" s="16">
        <v>694779.31047419703</v>
      </c>
      <c r="AC49" s="16">
        <v>819839.58635955304</v>
      </c>
      <c r="BA49" s="16">
        <v>4419.5200000000004</v>
      </c>
      <c r="BB49" s="16">
        <v>5215.0335999999998</v>
      </c>
      <c r="BC49" s="16">
        <v>4789.3819800000001</v>
      </c>
      <c r="BD49" s="16">
        <v>5651.4707363999996</v>
      </c>
      <c r="BE49" s="16">
        <v>4108.3732975660996</v>
      </c>
      <c r="BF49" s="16">
        <v>4847.8804911281004</v>
      </c>
      <c r="BG49" s="16">
        <v>132298.978</v>
      </c>
      <c r="BH49" s="16">
        <v>1.16576115</v>
      </c>
      <c r="BI49" s="16">
        <v>154229.008737105</v>
      </c>
      <c r="BJ49" s="16">
        <v>633630.34120561602</v>
      </c>
      <c r="BK49" s="16">
        <v>747683.802622627</v>
      </c>
      <c r="CI49" s="16">
        <v>4413.8902700578001</v>
      </c>
      <c r="CJ49" s="16">
        <v>5208.3905186681995</v>
      </c>
      <c r="CK49" s="16">
        <v>4783.7904786259996</v>
      </c>
      <c r="CL49" s="16">
        <v>5644.8727647787</v>
      </c>
      <c r="CM49" s="16">
        <v>4109.0991400030998</v>
      </c>
      <c r="CN49" s="16">
        <v>4848.7369852035999</v>
      </c>
      <c r="CO49" s="16">
        <v>102054.799</v>
      </c>
      <c r="CP49" s="16">
        <v>1.1641944659000001</v>
      </c>
      <c r="CQ49" s="16">
        <v>118811.63221433701</v>
      </c>
      <c r="CR49" s="16">
        <v>488208.77575428999</v>
      </c>
      <c r="CS49" s="16">
        <v>576086.35539006197</v>
      </c>
    </row>
    <row r="50" spans="1:123" ht="9.75" customHeight="1">
      <c r="A50" s="16" t="s">
        <v>288</v>
      </c>
      <c r="B50" s="16" t="s">
        <v>490</v>
      </c>
      <c r="C50" s="16" t="s">
        <v>136</v>
      </c>
      <c r="D50" s="16" t="s">
        <v>136</v>
      </c>
      <c r="E50" s="16" t="s">
        <v>137</v>
      </c>
      <c r="F50" s="16" t="s">
        <v>289</v>
      </c>
      <c r="G50" s="16" t="s">
        <v>290</v>
      </c>
      <c r="H50" s="16" t="s">
        <v>291</v>
      </c>
      <c r="I50" s="16" t="s">
        <v>1758</v>
      </c>
      <c r="J50" s="16" t="s">
        <v>292</v>
      </c>
      <c r="K50" s="16" t="s">
        <v>293</v>
      </c>
      <c r="L50" s="16" t="s">
        <v>204</v>
      </c>
      <c r="M50" s="16" t="s">
        <v>1539</v>
      </c>
      <c r="P50" s="16" t="s">
        <v>294</v>
      </c>
      <c r="Q50" s="16" t="s">
        <v>1524</v>
      </c>
      <c r="R50" s="16" t="s">
        <v>1652</v>
      </c>
      <c r="S50" s="16">
        <v>4315.7670225783004</v>
      </c>
      <c r="T50" s="16">
        <v>5092.6050866424002</v>
      </c>
      <c r="U50" s="16">
        <v>4490.722145275</v>
      </c>
      <c r="V50" s="16">
        <v>5299.0521314244997</v>
      </c>
      <c r="W50" s="16">
        <v>3754.1714382605001</v>
      </c>
      <c r="X50" s="16">
        <v>4429.9222971473</v>
      </c>
      <c r="Y50" s="16">
        <v>148926.07714276301</v>
      </c>
      <c r="Z50" s="16">
        <v>1.1961952775</v>
      </c>
      <c r="AA50" s="16">
        <v>178144.67017090399</v>
      </c>
      <c r="AB50" s="16">
        <v>668785.63263393496</v>
      </c>
      <c r="AC50" s="16">
        <v>789167.046508044</v>
      </c>
      <c r="BA50" s="16">
        <v>4312.9767863273</v>
      </c>
      <c r="BB50" s="16">
        <v>5089.3126078661999</v>
      </c>
      <c r="BC50" s="16">
        <v>4477.5051849458996</v>
      </c>
      <c r="BD50" s="16">
        <v>5283.4561182362004</v>
      </c>
      <c r="BE50" s="16">
        <v>3727.4324687276999</v>
      </c>
      <c r="BF50" s="16">
        <v>4398.3703130985996</v>
      </c>
      <c r="BG50" s="16">
        <v>109073.873674819</v>
      </c>
      <c r="BH50" s="16">
        <v>1.2012303972</v>
      </c>
      <c r="BI50" s="16">
        <v>131022.852598545</v>
      </c>
      <c r="BJ50" s="16">
        <v>488378.83492113597</v>
      </c>
      <c r="BK50" s="16">
        <v>576287.02520694095</v>
      </c>
      <c r="CI50" s="16">
        <v>4313.3958733607997</v>
      </c>
      <c r="CJ50" s="16">
        <v>5089.8071305657004</v>
      </c>
      <c r="CK50" s="16">
        <v>4493.4356872006001</v>
      </c>
      <c r="CL50" s="16">
        <v>5302.2541108966998</v>
      </c>
      <c r="CM50" s="16">
        <v>3735.2813548334998</v>
      </c>
      <c r="CN50" s="16">
        <v>4407.6319987035004</v>
      </c>
      <c r="CO50" s="16">
        <v>67717.334999026905</v>
      </c>
      <c r="CP50" s="16">
        <v>1.2029711447</v>
      </c>
      <c r="CQ50" s="16">
        <v>81461.999999812804</v>
      </c>
      <c r="CR50" s="16">
        <v>304283.48972674599</v>
      </c>
      <c r="CS50" s="16">
        <v>359054.51787755999</v>
      </c>
    </row>
    <row r="51" spans="1:123" ht="9.75" customHeight="1">
      <c r="A51" s="16" t="s">
        <v>288</v>
      </c>
      <c r="B51" s="16" t="s">
        <v>491</v>
      </c>
      <c r="C51" s="16" t="s">
        <v>136</v>
      </c>
      <c r="D51" s="16" t="s">
        <v>136</v>
      </c>
      <c r="E51" s="16" t="s">
        <v>137</v>
      </c>
      <c r="F51" s="16" t="s">
        <v>289</v>
      </c>
      <c r="G51" s="16" t="s">
        <v>290</v>
      </c>
      <c r="H51" s="16" t="s">
        <v>291</v>
      </c>
      <c r="I51" s="16" t="s">
        <v>1758</v>
      </c>
      <c r="J51" s="16" t="s">
        <v>292</v>
      </c>
      <c r="K51" s="16" t="s">
        <v>293</v>
      </c>
      <c r="L51" s="16" t="s">
        <v>204</v>
      </c>
      <c r="M51" s="16" t="s">
        <v>1539</v>
      </c>
      <c r="P51" s="16" t="s">
        <v>294</v>
      </c>
      <c r="Q51" s="16" t="s">
        <v>1579</v>
      </c>
      <c r="R51" s="16" t="s">
        <v>1579</v>
      </c>
      <c r="S51" s="16">
        <v>7619.9764339256999</v>
      </c>
      <c r="T51" s="16">
        <v>8991.5721920322994</v>
      </c>
      <c r="U51" s="16">
        <v>8916.4269444443999</v>
      </c>
      <c r="V51" s="16">
        <v>10521.3837944444</v>
      </c>
      <c r="W51" s="16">
        <v>6570.6904527961997</v>
      </c>
      <c r="X51" s="16">
        <v>7753.4147342995002</v>
      </c>
      <c r="Y51" s="16">
        <v>529.35138474279995</v>
      </c>
      <c r="Z51" s="16">
        <v>1.357</v>
      </c>
      <c r="AA51" s="16">
        <v>718.32982909600003</v>
      </c>
      <c r="AB51" s="16">
        <v>4719.9229500000001</v>
      </c>
      <c r="AC51" s="16">
        <v>5569.5090810000002</v>
      </c>
      <c r="AL51" s="16">
        <v>1296.4505105187</v>
      </c>
      <c r="AM51" s="16">
        <v>1529.8116024121</v>
      </c>
      <c r="AN51" s="16">
        <v>529.35138474279995</v>
      </c>
      <c r="AO51" s="16">
        <v>686.2778729936</v>
      </c>
      <c r="AP51" s="16">
        <v>809.80789013250001</v>
      </c>
    </row>
    <row r="52" spans="1:123" ht="9.75" customHeight="1">
      <c r="A52" s="16" t="s">
        <v>295</v>
      </c>
      <c r="B52" s="16" t="s">
        <v>492</v>
      </c>
      <c r="C52" s="16" t="s">
        <v>46</v>
      </c>
      <c r="D52" s="16" t="s">
        <v>296</v>
      </c>
      <c r="E52" s="16" t="s">
        <v>297</v>
      </c>
      <c r="F52" s="16" t="s">
        <v>298</v>
      </c>
      <c r="G52" s="16" t="s">
        <v>50</v>
      </c>
      <c r="H52" s="16" t="s">
        <v>299</v>
      </c>
      <c r="I52" s="16" t="s">
        <v>1758</v>
      </c>
      <c r="J52" s="16" t="s">
        <v>300</v>
      </c>
      <c r="K52" s="16" t="s">
        <v>301</v>
      </c>
      <c r="L52" s="16" t="s">
        <v>204</v>
      </c>
      <c r="M52" s="16" t="s">
        <v>1539</v>
      </c>
      <c r="Q52" s="16" t="s">
        <v>1524</v>
      </c>
      <c r="R52" s="16" t="s">
        <v>1650</v>
      </c>
      <c r="S52" s="16">
        <v>4268.5740178372998</v>
      </c>
      <c r="T52" s="16">
        <v>5036.9173410480998</v>
      </c>
      <c r="U52" s="16">
        <v>4695.0853740948996</v>
      </c>
      <c r="V52" s="16">
        <v>5540.2007414319996</v>
      </c>
      <c r="W52" s="16">
        <v>4048.5596853554998</v>
      </c>
      <c r="X52" s="16">
        <v>4777.3004287194999</v>
      </c>
      <c r="Y52" s="16">
        <v>7486.7143213079999</v>
      </c>
      <c r="Z52" s="16">
        <v>1.1596927645999999</v>
      </c>
      <c r="AA52" s="16">
        <v>8682.2884289314006</v>
      </c>
      <c r="AB52" s="16">
        <v>35150.762909999998</v>
      </c>
      <c r="AC52" s="16">
        <v>41477.900233799999</v>
      </c>
      <c r="BA52" s="16">
        <v>4263.8343871774996</v>
      </c>
      <c r="BB52" s="16">
        <v>5031.3245768694997</v>
      </c>
      <c r="BC52" s="16">
        <v>4690.6443871775</v>
      </c>
      <c r="BD52" s="16">
        <v>5534.9603768694997</v>
      </c>
      <c r="BE52" s="16">
        <v>4050.0419462616001</v>
      </c>
      <c r="BF52" s="16">
        <v>4779.0494965887001</v>
      </c>
      <c r="BG52" s="16">
        <v>6655.5394575084001</v>
      </c>
      <c r="BH52" s="16">
        <v>1.158171804</v>
      </c>
      <c r="BI52" s="16">
        <v>7708.2581400956997</v>
      </c>
      <c r="BJ52" s="16">
        <v>31218.768800000202</v>
      </c>
      <c r="BK52" s="16">
        <v>36838.147184000198</v>
      </c>
      <c r="CI52" s="16">
        <v>4259.8089789001997</v>
      </c>
      <c r="CJ52" s="16">
        <v>5026.5745951022</v>
      </c>
      <c r="CK52" s="16">
        <v>4686.6189789002001</v>
      </c>
      <c r="CL52" s="16">
        <v>5530.2103951022</v>
      </c>
      <c r="CM52" s="16">
        <v>4050.0284062119999</v>
      </c>
      <c r="CN52" s="16">
        <v>4779.0335193300998</v>
      </c>
      <c r="CO52" s="16">
        <v>4893.8471045456999</v>
      </c>
      <c r="CP52" s="16">
        <v>1.1571817550000001</v>
      </c>
      <c r="CQ52" s="16">
        <v>5663.0705811399002</v>
      </c>
      <c r="CR52" s="16">
        <v>22935.596719999699</v>
      </c>
      <c r="CS52" s="16">
        <v>27064.004129599602</v>
      </c>
    </row>
    <row r="53" spans="1:123" ht="9.75" customHeight="1">
      <c r="A53" s="16" t="s">
        <v>295</v>
      </c>
      <c r="B53" s="16" t="s">
        <v>493</v>
      </c>
      <c r="C53" s="16" t="s">
        <v>46</v>
      </c>
      <c r="D53" s="16" t="s">
        <v>296</v>
      </c>
      <c r="E53" s="16" t="s">
        <v>297</v>
      </c>
      <c r="F53" s="16" t="s">
        <v>298</v>
      </c>
      <c r="G53" s="16" t="s">
        <v>50</v>
      </c>
      <c r="H53" s="16" t="s">
        <v>299</v>
      </c>
      <c r="I53" s="16" t="s">
        <v>1758</v>
      </c>
      <c r="J53" s="16" t="s">
        <v>300</v>
      </c>
      <c r="K53" s="16" t="s">
        <v>301</v>
      </c>
      <c r="L53" s="16" t="s">
        <v>204</v>
      </c>
      <c r="M53" s="16" t="s">
        <v>1539</v>
      </c>
      <c r="Q53" s="16" t="s">
        <v>1579</v>
      </c>
      <c r="R53" s="16" t="s">
        <v>1579</v>
      </c>
      <c r="S53" s="16">
        <v>7715.5061851355003</v>
      </c>
      <c r="T53" s="16">
        <v>9104.2972984599</v>
      </c>
      <c r="U53" s="16">
        <v>9165.3253741462995</v>
      </c>
      <c r="V53" s="16">
        <v>10815.0839414927</v>
      </c>
      <c r="W53" s="16">
        <v>6689.5583848557999</v>
      </c>
      <c r="X53" s="16">
        <v>7893.6788941299001</v>
      </c>
      <c r="Y53" s="16">
        <v>17.921892927399998</v>
      </c>
      <c r="Z53" s="16">
        <v>1.3700942345</v>
      </c>
      <c r="AA53" s="16">
        <v>24.554682170300001</v>
      </c>
      <c r="AB53" s="16">
        <v>164.25998000000001</v>
      </c>
      <c r="AC53" s="16">
        <v>193.8267764</v>
      </c>
      <c r="AL53" s="16">
        <v>1449.8191890108001</v>
      </c>
      <c r="AM53" s="16">
        <v>1710.7866430327999</v>
      </c>
      <c r="AN53" s="16">
        <v>17.921892927399998</v>
      </c>
      <c r="AO53" s="16">
        <v>25.983504269499999</v>
      </c>
      <c r="AP53" s="16">
        <v>30.660535037999999</v>
      </c>
      <c r="BA53" s="16">
        <v>7715.5058090803004</v>
      </c>
      <c r="BB53" s="16">
        <v>9104.2968547147993</v>
      </c>
      <c r="BC53" s="16">
        <v>9165.3058090803006</v>
      </c>
      <c r="BD53" s="16">
        <v>10815.0608547148</v>
      </c>
      <c r="BE53" s="16">
        <v>6683.4199504950002</v>
      </c>
      <c r="BF53" s="16">
        <v>7886.4355415841001</v>
      </c>
      <c r="BG53" s="16">
        <v>15.091806787299999</v>
      </c>
      <c r="BH53" s="16">
        <v>1.3713496798</v>
      </c>
      <c r="BI53" s="16">
        <v>20.696144405399998</v>
      </c>
      <c r="BJ53" s="16">
        <v>138.32102441719999</v>
      </c>
      <c r="BK53" s="16">
        <v>163.2188088122</v>
      </c>
      <c r="BT53" s="16">
        <v>1449.8</v>
      </c>
      <c r="BU53" s="16">
        <v>1710.7639999999999</v>
      </c>
      <c r="BV53" s="16">
        <v>15.091806787299999</v>
      </c>
      <c r="BW53" s="16">
        <v>21.8801014802</v>
      </c>
      <c r="BX53" s="16">
        <v>25.818519746700002</v>
      </c>
      <c r="CI53" s="16">
        <v>7715.5069013034999</v>
      </c>
      <c r="CJ53" s="16">
        <v>9104.2981435381007</v>
      </c>
      <c r="CK53" s="16">
        <v>9165.3239334573991</v>
      </c>
      <c r="CL53" s="16">
        <v>10815.0822414797</v>
      </c>
      <c r="CM53" s="16">
        <v>6684.1298943725997</v>
      </c>
      <c r="CN53" s="16">
        <v>7887.2732753596001</v>
      </c>
      <c r="CO53" s="16">
        <v>1.9474368969</v>
      </c>
      <c r="CP53" s="16">
        <v>1.3712067357</v>
      </c>
      <c r="CQ53" s="16">
        <v>2.6703385904000001</v>
      </c>
      <c r="CR53" s="16">
        <v>17.848890000099999</v>
      </c>
      <c r="CS53" s="16">
        <v>21.061690200099999</v>
      </c>
      <c r="DB53" s="16">
        <v>1449.8170321539001</v>
      </c>
      <c r="DC53" s="16">
        <v>1710.7840979416001</v>
      </c>
      <c r="DD53" s="16">
        <v>1.9474368969</v>
      </c>
      <c r="DE53" s="16">
        <v>2.8234271822000001</v>
      </c>
      <c r="DF53" s="16">
        <v>3.3316440749999998</v>
      </c>
    </row>
    <row r="54" spans="1:123" ht="9.75" customHeight="1">
      <c r="A54" s="16" t="s">
        <v>295</v>
      </c>
      <c r="B54" s="16" t="s">
        <v>494</v>
      </c>
      <c r="C54" s="16" t="s">
        <v>46</v>
      </c>
      <c r="D54" s="16" t="s">
        <v>296</v>
      </c>
      <c r="E54" s="16" t="s">
        <v>297</v>
      </c>
      <c r="F54" s="16" t="s">
        <v>298</v>
      </c>
      <c r="G54" s="16" t="s">
        <v>50</v>
      </c>
      <c r="H54" s="16" t="s">
        <v>299</v>
      </c>
      <c r="I54" s="16" t="s">
        <v>1758</v>
      </c>
      <c r="J54" s="16" t="s">
        <v>300</v>
      </c>
      <c r="K54" s="16" t="s">
        <v>301</v>
      </c>
      <c r="L54" s="16" t="s">
        <v>204</v>
      </c>
      <c r="M54" s="16" t="s">
        <v>1539</v>
      </c>
      <c r="Q54" s="16" t="s">
        <v>1747</v>
      </c>
      <c r="R54" s="16" t="s">
        <v>1747</v>
      </c>
      <c r="S54" s="16">
        <v>2278.2467230815</v>
      </c>
      <c r="T54" s="16">
        <v>2688.3311332362</v>
      </c>
      <c r="U54" s="16">
        <v>2278.2467230815</v>
      </c>
      <c r="V54" s="16">
        <v>2688.3311332362</v>
      </c>
      <c r="W54" s="16">
        <v>1723.183309019</v>
      </c>
      <c r="X54" s="16">
        <v>2033.3563046423999</v>
      </c>
      <c r="Y54" s="16">
        <v>4.3028702299999999E-2</v>
      </c>
      <c r="Z54" s="16">
        <v>1.3221151291</v>
      </c>
      <c r="AA54" s="16">
        <v>5.6888898299999997E-2</v>
      </c>
      <c r="AB54" s="16">
        <v>9.8030000000000006E-2</v>
      </c>
      <c r="AC54" s="16">
        <v>0.1156754</v>
      </c>
      <c r="BA54" s="16">
        <v>2111.9057047903002</v>
      </c>
      <c r="BB54" s="16">
        <v>2492.0487316526001</v>
      </c>
      <c r="BC54" s="16">
        <v>2111.9057047903002</v>
      </c>
      <c r="BD54" s="16">
        <v>2492.0487316526001</v>
      </c>
      <c r="BE54" s="16">
        <v>1617.8362621882</v>
      </c>
      <c r="BF54" s="16">
        <v>1909.0467893821001</v>
      </c>
      <c r="BG54" s="16">
        <v>3.5020503000000001E-2</v>
      </c>
      <c r="BH54" s="16">
        <v>1.3053890274</v>
      </c>
      <c r="BI54" s="16">
        <v>4.5715380399999998E-2</v>
      </c>
      <c r="BJ54" s="16">
        <v>7.3960000100000006E-2</v>
      </c>
      <c r="BK54" s="16">
        <v>8.7272800100000006E-2</v>
      </c>
      <c r="CI54" s="16">
        <v>2111.9057047903002</v>
      </c>
      <c r="CJ54" s="16">
        <v>2492.0487316526001</v>
      </c>
      <c r="CK54" s="16">
        <v>2111.9057047903002</v>
      </c>
      <c r="CL54" s="16">
        <v>2492.0487316526001</v>
      </c>
      <c r="CM54" s="16">
        <v>1617.8362621882</v>
      </c>
      <c r="CN54" s="16">
        <v>1909.0467893821001</v>
      </c>
      <c r="CO54" s="16">
        <v>3.5020503000000001E-2</v>
      </c>
      <c r="CP54" s="16">
        <v>1.3053890274</v>
      </c>
      <c r="CQ54" s="16">
        <v>4.5715380399999998E-2</v>
      </c>
      <c r="CR54" s="16">
        <v>7.3960000100000006E-2</v>
      </c>
      <c r="CS54" s="16">
        <v>8.7272800100000006E-2</v>
      </c>
      <c r="DQ54" s="16" t="s">
        <v>495</v>
      </c>
      <c r="DS54" s="16" t="s">
        <v>495</v>
      </c>
    </row>
    <row r="55" spans="1:123" ht="9.75" customHeight="1">
      <c r="A55" s="16" t="s">
        <v>302</v>
      </c>
      <c r="B55" s="16" t="s">
        <v>496</v>
      </c>
      <c r="C55" s="16" t="s">
        <v>163</v>
      </c>
      <c r="D55" s="16" t="s">
        <v>163</v>
      </c>
      <c r="E55" s="16" t="s">
        <v>164</v>
      </c>
      <c r="F55" s="16" t="s">
        <v>303</v>
      </c>
      <c r="G55" s="16" t="s">
        <v>166</v>
      </c>
      <c r="H55" s="16" t="s">
        <v>304</v>
      </c>
      <c r="I55" s="16" t="s">
        <v>1758</v>
      </c>
      <c r="K55" s="16" t="s">
        <v>305</v>
      </c>
      <c r="L55" s="16" t="s">
        <v>43</v>
      </c>
      <c r="M55" s="16" t="s">
        <v>1539</v>
      </c>
      <c r="Q55" s="16" t="s">
        <v>1524</v>
      </c>
      <c r="R55" s="16" t="s">
        <v>1650</v>
      </c>
      <c r="S55" s="16">
        <v>4276.53</v>
      </c>
      <c r="T55" s="16">
        <v>5046.3054000000002</v>
      </c>
      <c r="U55" s="16">
        <v>4897.75</v>
      </c>
      <c r="V55" s="16">
        <v>5779.3450000000003</v>
      </c>
      <c r="W55" s="16">
        <v>4182.5362937660002</v>
      </c>
      <c r="X55" s="16">
        <v>4935.3928266438998</v>
      </c>
      <c r="Y55" s="16">
        <v>4865.96</v>
      </c>
      <c r="Z55" s="16">
        <v>1.171</v>
      </c>
      <c r="AA55" s="16">
        <v>5698.0391600000003</v>
      </c>
      <c r="AB55" s="16">
        <v>23832.255590000001</v>
      </c>
      <c r="AC55" s="16">
        <v>28122.061596200001</v>
      </c>
      <c r="BA55" s="16">
        <v>4437.7</v>
      </c>
      <c r="BB55" s="16">
        <v>5236.4859999999999</v>
      </c>
      <c r="BC55" s="16">
        <v>5083.58</v>
      </c>
      <c r="BD55" s="16">
        <v>5998.6243999999997</v>
      </c>
      <c r="BE55" s="16">
        <v>4344.9401709402</v>
      </c>
      <c r="BF55" s="16">
        <v>5127.0294017094002</v>
      </c>
      <c r="BG55" s="16">
        <v>3995.29</v>
      </c>
      <c r="BH55" s="16">
        <v>1.17</v>
      </c>
      <c r="BI55" s="16">
        <v>4674.4893000000002</v>
      </c>
      <c r="BJ55" s="16">
        <v>20310.3763382</v>
      </c>
      <c r="BK55" s="16">
        <v>23966.244079076001</v>
      </c>
      <c r="CI55" s="16">
        <v>4417</v>
      </c>
      <c r="CJ55" s="16">
        <v>5212.0600000000004</v>
      </c>
      <c r="CK55" s="16">
        <v>5063</v>
      </c>
      <c r="CL55" s="16">
        <v>5974.34</v>
      </c>
      <c r="CM55" s="16">
        <v>4327.3504273504004</v>
      </c>
      <c r="CN55" s="16">
        <v>5106.2735042735003</v>
      </c>
      <c r="CO55" s="16">
        <v>2901.87</v>
      </c>
      <c r="CP55" s="16">
        <v>1.17</v>
      </c>
      <c r="CQ55" s="16">
        <v>3395.1878999999999</v>
      </c>
      <c r="CR55" s="16">
        <v>14692.167810000001</v>
      </c>
      <c r="CS55" s="16">
        <v>17336.758015799998</v>
      </c>
    </row>
    <row r="56" spans="1:123" ht="9.75" customHeight="1">
      <c r="A56" s="16" t="s">
        <v>306</v>
      </c>
      <c r="B56" s="16" t="s">
        <v>497</v>
      </c>
      <c r="C56" s="16" t="s">
        <v>271</v>
      </c>
      <c r="D56" s="16" t="s">
        <v>271</v>
      </c>
      <c r="E56" s="16" t="s">
        <v>272</v>
      </c>
      <c r="F56" s="16" t="s">
        <v>307</v>
      </c>
      <c r="G56" s="16" t="s">
        <v>274</v>
      </c>
      <c r="H56" s="16" t="s">
        <v>308</v>
      </c>
      <c r="I56" s="16" t="s">
        <v>1758</v>
      </c>
      <c r="K56" s="16" t="s">
        <v>309</v>
      </c>
      <c r="L56" s="16" t="s">
        <v>43</v>
      </c>
      <c r="M56" s="16" t="s">
        <v>1539</v>
      </c>
      <c r="P56" s="16" t="s">
        <v>310</v>
      </c>
      <c r="Q56" s="16" t="s">
        <v>1524</v>
      </c>
      <c r="R56" s="16" t="s">
        <v>1650</v>
      </c>
      <c r="S56" s="16">
        <v>4440.7427139000001</v>
      </c>
      <c r="T56" s="16">
        <v>5240.076402402</v>
      </c>
      <c r="U56" s="16">
        <v>5085.2740037800004</v>
      </c>
      <c r="V56" s="16">
        <v>6000.6233244604</v>
      </c>
      <c r="W56" s="16">
        <v>4383.8568998103001</v>
      </c>
      <c r="X56" s="16">
        <v>5172.9511417761996</v>
      </c>
      <c r="Y56" s="16">
        <v>4799.5870000000004</v>
      </c>
      <c r="Z56" s="16">
        <v>1.1599999999999999</v>
      </c>
      <c r="AA56" s="16">
        <v>5567.5209199999999</v>
      </c>
      <c r="AB56" s="16">
        <v>24407.214999980399</v>
      </c>
      <c r="AC56" s="16">
        <v>28800.513699976898</v>
      </c>
      <c r="BA56" s="16">
        <v>4437.21417372</v>
      </c>
      <c r="BB56" s="16">
        <v>5235.9127249896001</v>
      </c>
      <c r="BC56" s="16">
        <v>5082.6359881500002</v>
      </c>
      <c r="BD56" s="16">
        <v>5997.510466017</v>
      </c>
      <c r="BE56" s="16">
        <v>4381.5827484051997</v>
      </c>
      <c r="BF56" s="16">
        <v>5170.2676431180998</v>
      </c>
      <c r="BG56" s="16">
        <v>4066.2550000000001</v>
      </c>
      <c r="BH56" s="16">
        <v>1.1599999999999999</v>
      </c>
      <c r="BI56" s="16">
        <v>4716.8558000000003</v>
      </c>
      <c r="BJ56" s="16">
        <v>20667.293999994901</v>
      </c>
      <c r="BK56" s="16">
        <v>24387.406919993999</v>
      </c>
      <c r="CI56" s="16">
        <v>4416.24</v>
      </c>
      <c r="CJ56" s="16">
        <v>5211.1632</v>
      </c>
      <c r="CK56" s="16">
        <v>5061.6838440000001</v>
      </c>
      <c r="CL56" s="16">
        <v>5972.7869359200004</v>
      </c>
      <c r="CM56" s="16">
        <v>4363.5205551724002</v>
      </c>
      <c r="CN56" s="16">
        <v>5148.9542551035001</v>
      </c>
      <c r="CO56" s="16">
        <v>3028.297</v>
      </c>
      <c r="CP56" s="16">
        <v>1.1599999999999999</v>
      </c>
      <c r="CQ56" s="16">
        <v>3512.8245200000001</v>
      </c>
      <c r="CR56" s="16">
        <v>15328.281999733699</v>
      </c>
      <c r="CS56" s="16">
        <v>18087.372759685699</v>
      </c>
    </row>
    <row r="57" spans="1:123" ht="9.75" customHeight="1">
      <c r="A57" s="16" t="s">
        <v>311</v>
      </c>
      <c r="B57" s="16" t="s">
        <v>498</v>
      </c>
      <c r="C57" s="16" t="s">
        <v>46</v>
      </c>
      <c r="D57" s="16" t="s">
        <v>47</v>
      </c>
      <c r="E57" s="16" t="s">
        <v>48</v>
      </c>
      <c r="F57" s="16" t="s">
        <v>312</v>
      </c>
      <c r="G57" s="16" t="s">
        <v>313</v>
      </c>
      <c r="H57" s="16" t="s">
        <v>314</v>
      </c>
      <c r="I57" s="16" t="s">
        <v>1759</v>
      </c>
      <c r="K57" s="16" t="s">
        <v>315</v>
      </c>
      <c r="L57" s="16" t="s">
        <v>43</v>
      </c>
      <c r="M57" s="16" t="s">
        <v>1539</v>
      </c>
      <c r="Q57" s="16" t="s">
        <v>1524</v>
      </c>
      <c r="R57" s="16" t="s">
        <v>1650</v>
      </c>
      <c r="S57" s="16">
        <v>4417.3842999999997</v>
      </c>
      <c r="T57" s="16">
        <v>5212.5134740000003</v>
      </c>
      <c r="U57" s="16">
        <v>5062.5712970000004</v>
      </c>
      <c r="V57" s="16">
        <v>5973.8341304599999</v>
      </c>
      <c r="W57" s="16">
        <v>4345.1990382122003</v>
      </c>
      <c r="X57" s="16">
        <v>5127.3348650903999</v>
      </c>
      <c r="Y57" s="16">
        <v>2176.6680000000001</v>
      </c>
      <c r="Z57" s="16">
        <v>1.1650953736</v>
      </c>
      <c r="AA57" s="16">
        <v>2536.0258167673001</v>
      </c>
      <c r="AB57" s="16">
        <v>11019.5369398984</v>
      </c>
      <c r="AC57" s="16">
        <v>13003.0535890801</v>
      </c>
      <c r="BA57" s="16">
        <v>4416.05</v>
      </c>
      <c r="BB57" s="16">
        <v>5210.9390000000003</v>
      </c>
      <c r="BC57" s="16">
        <v>5061.3635999999997</v>
      </c>
      <c r="BD57" s="16">
        <v>5972.4090480000004</v>
      </c>
      <c r="BE57" s="16">
        <v>4345.5144895697003</v>
      </c>
      <c r="BF57" s="16">
        <v>5127.7070976922996</v>
      </c>
      <c r="BG57" s="16">
        <v>2129.5010000000002</v>
      </c>
      <c r="BH57" s="16">
        <v>1.1647328785</v>
      </c>
      <c r="BI57" s="16">
        <v>2480.2998294986</v>
      </c>
      <c r="BJ57" s="16">
        <v>10778.1788475636</v>
      </c>
      <c r="BK57" s="16">
        <v>12718.251040125</v>
      </c>
      <c r="CI57" s="16">
        <v>4413.55</v>
      </c>
      <c r="CJ57" s="16">
        <v>5207.9889999999996</v>
      </c>
      <c r="CK57" s="16">
        <v>5058.8741300000002</v>
      </c>
      <c r="CL57" s="16">
        <v>5969.4714733999999</v>
      </c>
      <c r="CM57" s="16">
        <v>4345.9251149006004</v>
      </c>
      <c r="CN57" s="16">
        <v>5128.1916355826997</v>
      </c>
      <c r="CO57" s="16">
        <v>1836.645</v>
      </c>
      <c r="CP57" s="16">
        <v>1.16405</v>
      </c>
      <c r="CQ57" s="16">
        <v>2137.9466122499998</v>
      </c>
      <c r="CR57" s="16">
        <v>9291.3558764939007</v>
      </c>
      <c r="CS57" s="16">
        <v>10963.799934262701</v>
      </c>
      <c r="DS57" s="16" t="s">
        <v>499</v>
      </c>
    </row>
    <row r="58" spans="1:123" ht="9.75" customHeight="1">
      <c r="A58" s="16" t="s">
        <v>311</v>
      </c>
      <c r="B58" s="16" t="s">
        <v>500</v>
      </c>
      <c r="C58" s="16" t="s">
        <v>46</v>
      </c>
      <c r="D58" s="16" t="s">
        <v>47</v>
      </c>
      <c r="E58" s="16" t="s">
        <v>48</v>
      </c>
      <c r="F58" s="16" t="s">
        <v>312</v>
      </c>
      <c r="G58" s="16" t="s">
        <v>313</v>
      </c>
      <c r="H58" s="16" t="s">
        <v>314</v>
      </c>
      <c r="I58" s="16" t="s">
        <v>1759</v>
      </c>
      <c r="K58" s="16" t="s">
        <v>315</v>
      </c>
      <c r="L58" s="16" t="s">
        <v>43</v>
      </c>
      <c r="M58" s="16" t="s">
        <v>1539</v>
      </c>
      <c r="Q58" s="16" t="s">
        <v>1524</v>
      </c>
      <c r="R58" s="16" t="s">
        <v>1651</v>
      </c>
      <c r="S58" s="16">
        <v>6534.99</v>
      </c>
      <c r="T58" s="16">
        <v>7711.2882</v>
      </c>
      <c r="U58" s="16">
        <v>7504.68</v>
      </c>
      <c r="V58" s="16">
        <v>8855.5223999999998</v>
      </c>
      <c r="W58" s="16">
        <v>6467.9587105140999</v>
      </c>
      <c r="X58" s="16">
        <v>7632.1912784066999</v>
      </c>
      <c r="Y58" s="16">
        <v>35.090000000000003</v>
      </c>
      <c r="Z58" s="16">
        <v>1.1602857</v>
      </c>
      <c r="AA58" s="16">
        <v>40.714425212999998</v>
      </c>
      <c r="AB58" s="16">
        <v>263.3392212</v>
      </c>
      <c r="AC58" s="16">
        <v>310.74028101599998</v>
      </c>
      <c r="BA58" s="16">
        <v>6534.99</v>
      </c>
      <c r="BB58" s="16">
        <v>7711.2882</v>
      </c>
      <c r="BC58" s="16">
        <v>7504.68</v>
      </c>
      <c r="BD58" s="16">
        <v>8855.5223999999998</v>
      </c>
      <c r="BE58" s="16">
        <v>6467.9587105140999</v>
      </c>
      <c r="BF58" s="16">
        <v>7632.1912784066999</v>
      </c>
      <c r="BG58" s="16">
        <v>35.090000000000003</v>
      </c>
      <c r="BH58" s="16">
        <v>1.1602857</v>
      </c>
      <c r="BI58" s="16">
        <v>40.714425212999998</v>
      </c>
      <c r="BJ58" s="16">
        <v>263.3392212</v>
      </c>
      <c r="BK58" s="16">
        <v>310.74028101599998</v>
      </c>
      <c r="CI58" s="16">
        <v>6534.99</v>
      </c>
      <c r="CJ58" s="16">
        <v>7711.2882</v>
      </c>
      <c r="CK58" s="16">
        <v>7504.68</v>
      </c>
      <c r="CL58" s="16">
        <v>8855.5223999999998</v>
      </c>
      <c r="CM58" s="16">
        <v>6467.9587105140999</v>
      </c>
      <c r="CN58" s="16">
        <v>7632.1912784066999</v>
      </c>
      <c r="CO58" s="16">
        <v>35.090000000000003</v>
      </c>
      <c r="CP58" s="16">
        <v>1.1602857</v>
      </c>
      <c r="CQ58" s="16">
        <v>40.714425212999998</v>
      </c>
      <c r="CR58" s="16">
        <v>263.3392212</v>
      </c>
      <c r="CS58" s="16">
        <v>310.74028101599998</v>
      </c>
    </row>
    <row r="59" spans="1:123" ht="9.75" customHeight="1">
      <c r="A59" s="16" t="s">
        <v>316</v>
      </c>
      <c r="B59" s="16" t="s">
        <v>501</v>
      </c>
      <c r="C59" s="16" t="s">
        <v>46</v>
      </c>
      <c r="D59" s="16" t="s">
        <v>47</v>
      </c>
      <c r="E59" s="16" t="s">
        <v>48</v>
      </c>
      <c r="F59" s="16" t="s">
        <v>312</v>
      </c>
      <c r="G59" s="16" t="s">
        <v>313</v>
      </c>
      <c r="H59" s="16" t="s">
        <v>314</v>
      </c>
      <c r="I59" s="16" t="s">
        <v>1759</v>
      </c>
      <c r="J59" s="16" t="s">
        <v>317</v>
      </c>
      <c r="K59" s="16" t="s">
        <v>318</v>
      </c>
      <c r="L59" s="16" t="s">
        <v>43</v>
      </c>
      <c r="M59" s="16" t="s">
        <v>1539</v>
      </c>
      <c r="Q59" s="16" t="s">
        <v>1524</v>
      </c>
      <c r="R59" s="16" t="s">
        <v>1650</v>
      </c>
      <c r="S59" s="16">
        <v>4416.34</v>
      </c>
      <c r="T59" s="16">
        <v>5211.2812000000004</v>
      </c>
      <c r="U59" s="16">
        <v>5063.2299999999996</v>
      </c>
      <c r="V59" s="16">
        <v>5974.6113999999998</v>
      </c>
      <c r="W59" s="16">
        <v>4349.3538225516004</v>
      </c>
      <c r="X59" s="16">
        <v>5132.2375106109002</v>
      </c>
      <c r="Y59" s="16">
        <v>224.60300000000001</v>
      </c>
      <c r="Z59" s="16">
        <v>1.1641338476</v>
      </c>
      <c r="AA59" s="16">
        <v>261.46795457140001</v>
      </c>
      <c r="AB59" s="16">
        <v>1137.2166476899999</v>
      </c>
      <c r="AC59" s="16">
        <v>1341.9156442742001</v>
      </c>
      <c r="BA59" s="16">
        <v>4416.34</v>
      </c>
      <c r="BB59" s="16">
        <v>5211.2812000000004</v>
      </c>
      <c r="BC59" s="16">
        <v>5063.2299999999996</v>
      </c>
      <c r="BD59" s="16">
        <v>5974.6113999999998</v>
      </c>
      <c r="BE59" s="16">
        <v>4349.3538225337998</v>
      </c>
      <c r="BF59" s="16">
        <v>5132.2375105898</v>
      </c>
      <c r="BG59" s="16">
        <v>224.60300000000001</v>
      </c>
      <c r="BH59" s="16">
        <v>1.1641338476</v>
      </c>
      <c r="BI59" s="16">
        <v>261.46795457249999</v>
      </c>
      <c r="BJ59" s="16">
        <v>1137.2166476899999</v>
      </c>
      <c r="BK59" s="16">
        <v>1341.9156442742001</v>
      </c>
      <c r="CI59" s="16">
        <v>4414.87</v>
      </c>
      <c r="CJ59" s="16">
        <v>5209.5465999999997</v>
      </c>
      <c r="CK59" s="16">
        <v>5061.76</v>
      </c>
      <c r="CL59" s="16">
        <v>5972.8768</v>
      </c>
      <c r="CM59" s="16">
        <v>4349.5999931256001</v>
      </c>
      <c r="CN59" s="16">
        <v>5132.5279918881997</v>
      </c>
      <c r="CO59" s="16">
        <v>203.578</v>
      </c>
      <c r="CP59" s="16">
        <v>1.1637299999999999</v>
      </c>
      <c r="CQ59" s="16">
        <v>236.90982593999999</v>
      </c>
      <c r="CR59" s="16">
        <v>1030.4629772799999</v>
      </c>
      <c r="CS59" s="16">
        <v>1215.9463131903999</v>
      </c>
      <c r="DS59" s="16" t="s">
        <v>502</v>
      </c>
    </row>
    <row r="60" spans="1:123" ht="9.75" customHeight="1">
      <c r="A60" s="16" t="s">
        <v>319</v>
      </c>
      <c r="B60" s="16" t="s">
        <v>503</v>
      </c>
      <c r="C60" s="16" t="s">
        <v>320</v>
      </c>
      <c r="D60" s="16" t="s">
        <v>321</v>
      </c>
      <c r="E60" s="16" t="s">
        <v>322</v>
      </c>
      <c r="F60" s="16" t="s">
        <v>312</v>
      </c>
      <c r="G60" s="16" t="s">
        <v>313</v>
      </c>
      <c r="H60" s="16" t="s">
        <v>314</v>
      </c>
      <c r="I60" s="16" t="s">
        <v>1759</v>
      </c>
      <c r="J60" s="16" t="s">
        <v>317</v>
      </c>
      <c r="K60" s="16" t="s">
        <v>323</v>
      </c>
      <c r="L60" s="16" t="s">
        <v>43</v>
      </c>
      <c r="M60" s="16" t="s">
        <v>1539</v>
      </c>
      <c r="Q60" s="16" t="s">
        <v>1524</v>
      </c>
      <c r="R60" s="16" t="s">
        <v>1650</v>
      </c>
      <c r="S60" s="16">
        <v>4400.47</v>
      </c>
      <c r="T60" s="16">
        <v>5192.5546000000004</v>
      </c>
      <c r="U60" s="16">
        <v>4400.47</v>
      </c>
      <c r="V60" s="16">
        <v>5192.5546000000004</v>
      </c>
      <c r="W60" s="16">
        <v>3794.0338994499002</v>
      </c>
      <c r="X60" s="16">
        <v>4476.9600013508998</v>
      </c>
      <c r="Y60" s="16">
        <v>227.27</v>
      </c>
      <c r="Z60" s="16">
        <v>1.1598393996</v>
      </c>
      <c r="AA60" s="16">
        <v>263.59670034710001</v>
      </c>
      <c r="AB60" s="16">
        <v>1000.0948169</v>
      </c>
      <c r="AC60" s="16">
        <v>1180.1118839420001</v>
      </c>
      <c r="BA60" s="16">
        <v>4400.47</v>
      </c>
      <c r="BB60" s="16">
        <v>5192.5546000000004</v>
      </c>
      <c r="BC60" s="16">
        <v>4400.47</v>
      </c>
      <c r="BD60" s="16">
        <v>5192.5546000000004</v>
      </c>
      <c r="BE60" s="16">
        <v>3794.0338994499002</v>
      </c>
      <c r="BF60" s="16">
        <v>4476.9600013508998</v>
      </c>
      <c r="BG60" s="16">
        <v>227.27</v>
      </c>
      <c r="BH60" s="16">
        <v>1.1598393996</v>
      </c>
      <c r="BI60" s="16">
        <v>263.59670034710001</v>
      </c>
      <c r="BJ60" s="16">
        <v>1000.0948169</v>
      </c>
      <c r="BK60" s="16">
        <v>1180.1118839420001</v>
      </c>
      <c r="CI60" s="16">
        <v>4412.24586</v>
      </c>
      <c r="CJ60" s="16">
        <v>5206.4501147999999</v>
      </c>
      <c r="CK60" s="16">
        <v>4412.24586</v>
      </c>
      <c r="CL60" s="16">
        <v>5206.4501147999999</v>
      </c>
      <c r="CM60" s="16">
        <v>3805.0707244926998</v>
      </c>
      <c r="CN60" s="16">
        <v>4489.9834549014004</v>
      </c>
      <c r="CO60" s="16">
        <v>205.16399999999999</v>
      </c>
      <c r="CP60" s="16">
        <v>1.15957</v>
      </c>
      <c r="CQ60" s="16">
        <v>237.90201948000001</v>
      </c>
      <c r="CR60" s="16">
        <v>905.23400962100004</v>
      </c>
      <c r="CS60" s="16">
        <v>1068.1761313528</v>
      </c>
    </row>
    <row r="61" spans="1:123" ht="9.75" customHeight="1">
      <c r="A61" s="16" t="s">
        <v>319</v>
      </c>
      <c r="B61" s="16" t="s">
        <v>504</v>
      </c>
      <c r="C61" s="16" t="s">
        <v>320</v>
      </c>
      <c r="D61" s="16" t="s">
        <v>321</v>
      </c>
      <c r="E61" s="16" t="s">
        <v>322</v>
      </c>
      <c r="F61" s="16" t="s">
        <v>312</v>
      </c>
      <c r="G61" s="16" t="s">
        <v>313</v>
      </c>
      <c r="H61" s="16" t="s">
        <v>314</v>
      </c>
      <c r="I61" s="16" t="s">
        <v>1759</v>
      </c>
      <c r="J61" s="16" t="s">
        <v>317</v>
      </c>
      <c r="K61" s="16" t="s">
        <v>323</v>
      </c>
      <c r="L61" s="16" t="s">
        <v>43</v>
      </c>
      <c r="M61" s="16" t="s">
        <v>1539</v>
      </c>
      <c r="Q61" s="16" t="s">
        <v>1524</v>
      </c>
      <c r="R61" s="16" t="s">
        <v>1651</v>
      </c>
      <c r="S61" s="16">
        <v>6545.23</v>
      </c>
      <c r="T61" s="16">
        <v>7723.3714</v>
      </c>
      <c r="U61" s="16">
        <v>6545.23</v>
      </c>
      <c r="V61" s="16">
        <v>7723.3714</v>
      </c>
      <c r="W61" s="16">
        <v>5643.2209513294001</v>
      </c>
      <c r="X61" s="16">
        <v>6659.0007225687004</v>
      </c>
      <c r="Y61" s="16">
        <v>2.097</v>
      </c>
      <c r="Z61" s="16">
        <v>1.1598393996</v>
      </c>
      <c r="AA61" s="16">
        <v>2.4321832209999998</v>
      </c>
      <c r="AB61" s="16">
        <v>13.72534731</v>
      </c>
      <c r="AC61" s="16">
        <v>16.195909825800001</v>
      </c>
      <c r="BA61" s="16">
        <v>6545.23</v>
      </c>
      <c r="BB61" s="16">
        <v>7723.3714</v>
      </c>
      <c r="BC61" s="16">
        <v>6545.23</v>
      </c>
      <c r="BD61" s="16">
        <v>7723.3714</v>
      </c>
      <c r="BE61" s="16">
        <v>5643.2209513294001</v>
      </c>
      <c r="BF61" s="16">
        <v>6659.0007225687004</v>
      </c>
      <c r="BG61" s="16">
        <v>2.097</v>
      </c>
      <c r="BH61" s="16">
        <v>1.1598393996</v>
      </c>
      <c r="BI61" s="16">
        <v>2.4321832209999998</v>
      </c>
      <c r="BJ61" s="16">
        <v>13.72534731</v>
      </c>
      <c r="BK61" s="16">
        <v>16.195909825800001</v>
      </c>
    </row>
    <row r="62" spans="1:123" ht="9.75" customHeight="1">
      <c r="A62" s="16" t="s">
        <v>324</v>
      </c>
      <c r="B62" s="16" t="s">
        <v>505</v>
      </c>
      <c r="C62" s="16" t="s">
        <v>262</v>
      </c>
      <c r="D62" s="16" t="s">
        <v>325</v>
      </c>
      <c r="E62" s="16" t="s">
        <v>326</v>
      </c>
      <c r="F62" s="16" t="s">
        <v>312</v>
      </c>
      <c r="G62" s="16" t="s">
        <v>313</v>
      </c>
      <c r="H62" s="16" t="s">
        <v>314</v>
      </c>
      <c r="I62" s="16" t="s">
        <v>1759</v>
      </c>
      <c r="J62" s="16" t="s">
        <v>317</v>
      </c>
      <c r="K62" s="16" t="s">
        <v>327</v>
      </c>
      <c r="L62" s="16" t="s">
        <v>110</v>
      </c>
      <c r="M62" s="16" t="s">
        <v>1539</v>
      </c>
      <c r="Q62" s="16" t="s">
        <v>1524</v>
      </c>
      <c r="R62" s="16" t="s">
        <v>1650</v>
      </c>
      <c r="S62" s="16">
        <v>4395.43</v>
      </c>
      <c r="T62" s="16">
        <v>5186.6073999999999</v>
      </c>
      <c r="U62" s="16">
        <v>5042.32</v>
      </c>
      <c r="V62" s="16">
        <v>5949.9376000000002</v>
      </c>
      <c r="W62" s="16">
        <v>4355.6885432704003</v>
      </c>
      <c r="X62" s="16">
        <v>5139.7124810590003</v>
      </c>
      <c r="Y62" s="16">
        <v>137.102</v>
      </c>
      <c r="Z62" s="16">
        <v>1.1576401641</v>
      </c>
      <c r="AA62" s="16">
        <v>158.71478177840001</v>
      </c>
      <c r="AB62" s="16">
        <v>691.31215664000001</v>
      </c>
      <c r="AC62" s="16">
        <v>815.74834483519999</v>
      </c>
      <c r="BA62" s="16">
        <v>4395.43</v>
      </c>
      <c r="BB62" s="16">
        <v>5186.6073999999999</v>
      </c>
      <c r="BC62" s="16">
        <v>5042.32</v>
      </c>
      <c r="BD62" s="16">
        <v>5949.9376000000002</v>
      </c>
      <c r="BE62" s="16">
        <v>4355.6885432704003</v>
      </c>
      <c r="BF62" s="16">
        <v>5139.7124810590003</v>
      </c>
      <c r="BG62" s="16">
        <v>137.102</v>
      </c>
      <c r="BH62" s="16">
        <v>1.1576401641</v>
      </c>
      <c r="BI62" s="16">
        <v>158.71478177840001</v>
      </c>
      <c r="BJ62" s="16">
        <v>691.31215664000001</v>
      </c>
      <c r="BK62" s="16">
        <v>815.74834483519999</v>
      </c>
      <c r="CI62" s="16">
        <v>4411.8224300000002</v>
      </c>
      <c r="CJ62" s="16">
        <v>5205.9504674</v>
      </c>
      <c r="CK62" s="16">
        <v>5058.7124299999996</v>
      </c>
      <c r="CL62" s="16">
        <v>5969.2806674000003</v>
      </c>
      <c r="CM62" s="16">
        <v>4362.5385311923001</v>
      </c>
      <c r="CN62" s="16">
        <v>5147.7954668069997</v>
      </c>
      <c r="CO62" s="16">
        <v>128.964</v>
      </c>
      <c r="CP62" s="16">
        <v>1.1595800000000001</v>
      </c>
      <c r="CQ62" s="16">
        <v>149.54407512</v>
      </c>
      <c r="CR62" s="16">
        <v>652.39178982249996</v>
      </c>
      <c r="CS62" s="16">
        <v>769.82231199060004</v>
      </c>
    </row>
    <row r="63" spans="1:123" ht="9.75" customHeight="1">
      <c r="A63" s="16" t="s">
        <v>324</v>
      </c>
      <c r="B63" s="16" t="s">
        <v>506</v>
      </c>
      <c r="C63" s="16" t="s">
        <v>262</v>
      </c>
      <c r="D63" s="16" t="s">
        <v>325</v>
      </c>
      <c r="E63" s="16" t="s">
        <v>326</v>
      </c>
      <c r="F63" s="16" t="s">
        <v>312</v>
      </c>
      <c r="G63" s="16" t="s">
        <v>313</v>
      </c>
      <c r="H63" s="16" t="s">
        <v>314</v>
      </c>
      <c r="I63" s="16" t="s">
        <v>1759</v>
      </c>
      <c r="J63" s="16" t="s">
        <v>317</v>
      </c>
      <c r="K63" s="16" t="s">
        <v>327</v>
      </c>
      <c r="L63" s="16" t="s">
        <v>110</v>
      </c>
      <c r="M63" s="16" t="s">
        <v>1539</v>
      </c>
      <c r="Q63" s="16" t="s">
        <v>1524</v>
      </c>
      <c r="R63" s="16" t="s">
        <v>1651</v>
      </c>
      <c r="S63" s="16">
        <v>5531.68</v>
      </c>
      <c r="T63" s="16">
        <v>6527.3824000000004</v>
      </c>
      <c r="U63" s="16">
        <v>6364.11</v>
      </c>
      <c r="V63" s="16">
        <v>7509.6498000000001</v>
      </c>
      <c r="W63" s="16">
        <v>5497.4854858701001</v>
      </c>
      <c r="X63" s="16">
        <v>6487.0328733266997</v>
      </c>
      <c r="Y63" s="16">
        <v>6.415</v>
      </c>
      <c r="Z63" s="16">
        <v>1.1576401641</v>
      </c>
      <c r="AA63" s="16">
        <v>7.4262616527</v>
      </c>
      <c r="AB63" s="16">
        <v>40.825765650000001</v>
      </c>
      <c r="AC63" s="16">
        <v>48.174403466999998</v>
      </c>
      <c r="BA63" s="16">
        <v>5531.68</v>
      </c>
      <c r="BB63" s="16">
        <v>6527.3824000000004</v>
      </c>
      <c r="BC63" s="16">
        <v>6364.11</v>
      </c>
      <c r="BD63" s="16">
        <v>7509.6498000000001</v>
      </c>
      <c r="BE63" s="16">
        <v>5497.4854858701001</v>
      </c>
      <c r="BF63" s="16">
        <v>6487.0328733266997</v>
      </c>
      <c r="BG63" s="16">
        <v>6.415</v>
      </c>
      <c r="BH63" s="16">
        <v>1.1576401641</v>
      </c>
      <c r="BI63" s="16">
        <v>7.4262616527</v>
      </c>
      <c r="BJ63" s="16">
        <v>40.825765650000001</v>
      </c>
      <c r="BK63" s="16">
        <v>48.174403466999998</v>
      </c>
    </row>
    <row r="64" spans="1:123" ht="9.75" customHeight="1">
      <c r="A64" s="16" t="s">
        <v>328</v>
      </c>
      <c r="B64" s="16" t="s">
        <v>507</v>
      </c>
      <c r="C64" s="16" t="s">
        <v>329</v>
      </c>
      <c r="D64" s="16" t="s">
        <v>330</v>
      </c>
      <c r="E64" s="16" t="s">
        <v>331</v>
      </c>
      <c r="F64" s="16" t="s">
        <v>332</v>
      </c>
      <c r="G64" s="16" t="s">
        <v>333</v>
      </c>
      <c r="H64" s="16" t="s">
        <v>334</v>
      </c>
      <c r="I64" s="16" t="s">
        <v>1758</v>
      </c>
      <c r="J64" s="16" t="s">
        <v>335</v>
      </c>
      <c r="K64" s="16" t="s">
        <v>336</v>
      </c>
      <c r="L64" s="16" t="s">
        <v>43</v>
      </c>
      <c r="M64" s="16" t="s">
        <v>1539</v>
      </c>
      <c r="Q64" s="16" t="s">
        <v>1524</v>
      </c>
      <c r="R64" s="16" t="s">
        <v>1650</v>
      </c>
      <c r="S64" s="16">
        <v>4481.04</v>
      </c>
      <c r="T64" s="16">
        <v>5287.6271999999999</v>
      </c>
      <c r="U64" s="16">
        <v>5128.91</v>
      </c>
      <c r="V64" s="16">
        <v>6052.1138000000001</v>
      </c>
      <c r="W64" s="16">
        <v>4383.6837606837998</v>
      </c>
      <c r="X64" s="16">
        <v>5172.7468376068</v>
      </c>
      <c r="Y64" s="16">
        <v>962.1</v>
      </c>
      <c r="Z64" s="16">
        <v>1.17</v>
      </c>
      <c r="AA64" s="16">
        <v>1125.6569999999999</v>
      </c>
      <c r="AB64" s="16">
        <v>4934.5243110000001</v>
      </c>
      <c r="AC64" s="16">
        <v>5822.7386869800002</v>
      </c>
      <c r="BA64" s="16">
        <v>4474.37</v>
      </c>
      <c r="BB64" s="16">
        <v>5279.7565999999997</v>
      </c>
      <c r="BC64" s="16">
        <v>5121.88</v>
      </c>
      <c r="BD64" s="16">
        <v>6043.8184000000001</v>
      </c>
      <c r="BE64" s="16">
        <v>4453.8086956522002</v>
      </c>
      <c r="BF64" s="16">
        <v>5255.4942608696001</v>
      </c>
      <c r="BG64" s="16">
        <v>902.68700000000001</v>
      </c>
      <c r="BH64" s="16">
        <v>1.1499999999999999</v>
      </c>
      <c r="BI64" s="16">
        <v>1038.09005</v>
      </c>
      <c r="BJ64" s="16">
        <v>4623.45449156</v>
      </c>
      <c r="BK64" s="16">
        <v>5455.6763000408</v>
      </c>
      <c r="CI64" s="16">
        <v>4445.2889999999998</v>
      </c>
      <c r="CJ64" s="16">
        <v>5245.4410200000002</v>
      </c>
      <c r="CK64" s="16">
        <v>5090.299</v>
      </c>
      <c r="CL64" s="16">
        <v>6006.5528199999999</v>
      </c>
      <c r="CM64" s="16">
        <v>4426.3469565217001</v>
      </c>
      <c r="CN64" s="16">
        <v>5223.0894086956996</v>
      </c>
      <c r="CO64" s="16">
        <v>699.18799999999999</v>
      </c>
      <c r="CP64" s="16">
        <v>1.1499999999999999</v>
      </c>
      <c r="CQ64" s="16">
        <v>804.06619999999998</v>
      </c>
      <c r="CR64" s="16">
        <v>3559.075977212</v>
      </c>
      <c r="CS64" s="16">
        <v>4199.7096531101997</v>
      </c>
    </row>
    <row r="65" spans="1:123" ht="9.75" customHeight="1">
      <c r="A65" s="16" t="s">
        <v>337</v>
      </c>
      <c r="B65" s="16" t="s">
        <v>508</v>
      </c>
      <c r="C65" s="16" t="s">
        <v>70</v>
      </c>
      <c r="D65" s="16" t="s">
        <v>70</v>
      </c>
      <c r="E65" s="16" t="s">
        <v>71</v>
      </c>
      <c r="F65" s="16" t="s">
        <v>338</v>
      </c>
      <c r="G65" s="16" t="s">
        <v>73</v>
      </c>
      <c r="H65" s="16" t="s">
        <v>339</v>
      </c>
      <c r="I65" s="16" t="s">
        <v>1758</v>
      </c>
      <c r="K65" s="16" t="s">
        <v>340</v>
      </c>
      <c r="L65" s="16" t="s">
        <v>43</v>
      </c>
      <c r="M65" s="16" t="s">
        <v>1539</v>
      </c>
      <c r="Q65" s="16" t="s">
        <v>1524</v>
      </c>
      <c r="R65" s="16" t="s">
        <v>1650</v>
      </c>
      <c r="S65" s="16">
        <v>4474.2055</v>
      </c>
      <c r="T65" s="16">
        <v>5279.5624900000003</v>
      </c>
      <c r="U65" s="16">
        <v>5113.5171</v>
      </c>
      <c r="V65" s="16">
        <v>6033.9501780000001</v>
      </c>
      <c r="W65" s="16">
        <v>4446.5366086957001</v>
      </c>
      <c r="X65" s="16">
        <v>5246.9131982608997</v>
      </c>
      <c r="Y65" s="16">
        <v>1145.7809999999999</v>
      </c>
      <c r="Z65" s="16">
        <v>1.1499999999999999</v>
      </c>
      <c r="AA65" s="16">
        <v>1317.64815</v>
      </c>
      <c r="AB65" s="16">
        <v>5858.9707363550997</v>
      </c>
      <c r="AC65" s="16">
        <v>6913.5854688990003</v>
      </c>
      <c r="BA65" s="16">
        <v>4414.5709999999999</v>
      </c>
      <c r="BB65" s="16">
        <v>5209.1937799999996</v>
      </c>
      <c r="BC65" s="16">
        <v>5057.3855999999996</v>
      </c>
      <c r="BD65" s="16">
        <v>5967.7150080000001</v>
      </c>
      <c r="BE65" s="16">
        <v>4397.7266086956997</v>
      </c>
      <c r="BF65" s="16">
        <v>5189.3173982608996</v>
      </c>
      <c r="BG65" s="16">
        <v>749.48199999999997</v>
      </c>
      <c r="BH65" s="16">
        <v>1.1499999999999999</v>
      </c>
      <c r="BI65" s="16">
        <v>861.90430000000003</v>
      </c>
      <c r="BJ65" s="16">
        <v>3790.4194742591999</v>
      </c>
      <c r="BK65" s="16">
        <v>4472.6949796258996</v>
      </c>
      <c r="CI65" s="16">
        <v>4415.9037429112004</v>
      </c>
      <c r="CJ65" s="16">
        <v>5210.7664166351997</v>
      </c>
      <c r="CK65" s="16">
        <v>5062.72</v>
      </c>
      <c r="CL65" s="16">
        <v>5974.0096000000003</v>
      </c>
      <c r="CM65" s="16">
        <v>4402.3652173912997</v>
      </c>
      <c r="CN65" s="16">
        <v>5194.7909565216996</v>
      </c>
      <c r="CO65" s="16">
        <v>500.96</v>
      </c>
      <c r="CP65" s="16">
        <v>1.1499999999999999</v>
      </c>
      <c r="CQ65" s="16">
        <v>576.10400000000004</v>
      </c>
      <c r="CR65" s="16">
        <v>2536.2202112</v>
      </c>
      <c r="CS65" s="16">
        <v>2992.739849216</v>
      </c>
    </row>
    <row r="66" spans="1:123" ht="9.75" customHeight="1">
      <c r="A66" s="16" t="s">
        <v>341</v>
      </c>
      <c r="B66" s="16" t="s">
        <v>509</v>
      </c>
      <c r="C66" s="16" t="s">
        <v>37</v>
      </c>
      <c r="D66" s="16" t="s">
        <v>37</v>
      </c>
      <c r="E66" s="16" t="s">
        <v>38</v>
      </c>
      <c r="F66" s="16" t="s">
        <v>342</v>
      </c>
      <c r="G66" s="16" t="s">
        <v>233</v>
      </c>
      <c r="H66" s="16" t="s">
        <v>343</v>
      </c>
      <c r="I66" s="16" t="s">
        <v>1758</v>
      </c>
      <c r="K66" s="16" t="s">
        <v>344</v>
      </c>
      <c r="L66" s="16" t="s">
        <v>43</v>
      </c>
      <c r="M66" s="16" t="s">
        <v>1540</v>
      </c>
      <c r="Q66" s="16" t="s">
        <v>1524</v>
      </c>
      <c r="R66" s="16" t="s">
        <v>1650</v>
      </c>
      <c r="S66" s="16">
        <v>5282.9120000000003</v>
      </c>
      <c r="T66" s="16">
        <v>5282.9120000000003</v>
      </c>
      <c r="U66" s="16">
        <v>6017.6696000000002</v>
      </c>
      <c r="V66" s="16">
        <v>6017.6696000000002</v>
      </c>
      <c r="W66" s="16">
        <v>5232.7561739129997</v>
      </c>
      <c r="X66" s="16">
        <v>5232.7561739129997</v>
      </c>
      <c r="Y66" s="16">
        <v>1058.4739999999999</v>
      </c>
      <c r="Z66" s="16">
        <v>1.1499999999999999</v>
      </c>
      <c r="AA66" s="16">
        <v>1217.2451000000001</v>
      </c>
      <c r="AB66" s="16">
        <v>6369.5468121903996</v>
      </c>
      <c r="AC66" s="16">
        <v>6369.5468121903996</v>
      </c>
      <c r="BA66" s="16">
        <v>5257.8577999999998</v>
      </c>
      <c r="BB66" s="16">
        <v>5257.8577999999998</v>
      </c>
      <c r="BC66" s="16">
        <v>6020.41</v>
      </c>
      <c r="BD66" s="16">
        <v>6020.41</v>
      </c>
      <c r="BE66" s="16">
        <v>5235.1391304347999</v>
      </c>
      <c r="BF66" s="16">
        <v>5235.1391304347999</v>
      </c>
      <c r="BG66" s="16">
        <v>1035.4970000000001</v>
      </c>
      <c r="BH66" s="16">
        <v>1.1499999999999999</v>
      </c>
      <c r="BI66" s="16">
        <v>1190.8215499999999</v>
      </c>
      <c r="BJ66" s="16">
        <v>6234.1164937699996</v>
      </c>
      <c r="BK66" s="16">
        <v>6234.1164937699996</v>
      </c>
      <c r="CI66" s="16">
        <v>5249.4616999999998</v>
      </c>
      <c r="CJ66" s="16">
        <v>5249.4616999999998</v>
      </c>
      <c r="CK66" s="16">
        <v>6011.8675999999996</v>
      </c>
      <c r="CL66" s="16">
        <v>6011.8675999999996</v>
      </c>
      <c r="CM66" s="16">
        <v>5227.7109565216997</v>
      </c>
      <c r="CN66" s="16">
        <v>5227.7109565216997</v>
      </c>
      <c r="CO66" s="16">
        <v>898.18299999999999</v>
      </c>
      <c r="CP66" s="16">
        <v>1.1499999999999999</v>
      </c>
      <c r="CQ66" s="16">
        <v>1032.9104500000001</v>
      </c>
      <c r="CR66" s="16">
        <v>5399.7572765708001</v>
      </c>
      <c r="CS66" s="16">
        <v>5399.7572765708001</v>
      </c>
    </row>
    <row r="67" spans="1:123" ht="9.75" customHeight="1">
      <c r="A67" s="16" t="s">
        <v>345</v>
      </c>
      <c r="B67" s="16" t="s">
        <v>510</v>
      </c>
      <c r="C67" s="16" t="s">
        <v>37</v>
      </c>
      <c r="D67" s="16" t="s">
        <v>37</v>
      </c>
      <c r="E67" s="16" t="s">
        <v>38</v>
      </c>
      <c r="F67" s="16" t="s">
        <v>346</v>
      </c>
      <c r="G67" s="16" t="s">
        <v>233</v>
      </c>
      <c r="H67" s="16" t="s">
        <v>347</v>
      </c>
      <c r="I67" s="16" t="s">
        <v>1758</v>
      </c>
      <c r="K67" s="16" t="s">
        <v>348</v>
      </c>
      <c r="L67" s="16" t="s">
        <v>43</v>
      </c>
      <c r="M67" s="16" t="s">
        <v>1540</v>
      </c>
      <c r="Q67" s="16" t="s">
        <v>1524</v>
      </c>
      <c r="R67" s="16" t="s">
        <v>1650</v>
      </c>
      <c r="S67" s="16">
        <v>5280.5461699999996</v>
      </c>
      <c r="T67" s="16">
        <v>5280.5461699999996</v>
      </c>
      <c r="U67" s="16">
        <v>6015.3720380000004</v>
      </c>
      <c r="V67" s="16">
        <v>6015.3720380000004</v>
      </c>
      <c r="W67" s="16">
        <v>5230.7582939129998</v>
      </c>
      <c r="X67" s="16">
        <v>5230.7582939129998</v>
      </c>
      <c r="Y67" s="16">
        <v>1566.23</v>
      </c>
      <c r="Z67" s="16">
        <v>1.1499999999999999</v>
      </c>
      <c r="AA67" s="16">
        <v>1801.1645000000001</v>
      </c>
      <c r="AB67" s="16">
        <v>9421.4561470767003</v>
      </c>
      <c r="AC67" s="16">
        <v>9421.4561470767003</v>
      </c>
      <c r="BA67" s="16">
        <v>5255.9</v>
      </c>
      <c r="BB67" s="16">
        <v>5255.9</v>
      </c>
      <c r="BC67" s="16">
        <v>6019.51</v>
      </c>
      <c r="BD67" s="16">
        <v>6019.51</v>
      </c>
      <c r="BE67" s="16">
        <v>5234.3565217390997</v>
      </c>
      <c r="BF67" s="16">
        <v>5234.3565217390997</v>
      </c>
      <c r="BG67" s="16">
        <v>1515.9169999999999</v>
      </c>
      <c r="BH67" s="16">
        <v>1.1499999999999999</v>
      </c>
      <c r="BI67" s="16">
        <v>1743.3045500000001</v>
      </c>
      <c r="BJ67" s="16">
        <v>9125.0775406699995</v>
      </c>
      <c r="BK67" s="16">
        <v>9125.0775406699995</v>
      </c>
      <c r="CI67" s="16">
        <v>5248.5941999999995</v>
      </c>
      <c r="CJ67" s="16">
        <v>5248.5941999999995</v>
      </c>
      <c r="CK67" s="16">
        <v>6012.2188999999998</v>
      </c>
      <c r="CL67" s="16">
        <v>6012.2188999999998</v>
      </c>
      <c r="CM67" s="16">
        <v>5228.0164347826003</v>
      </c>
      <c r="CN67" s="16">
        <v>5228.0164347826003</v>
      </c>
      <c r="CO67" s="16">
        <v>1312.6079999999999</v>
      </c>
      <c r="CP67" s="16">
        <v>1.1499999999999999</v>
      </c>
      <c r="CQ67" s="16">
        <v>1509.4992</v>
      </c>
      <c r="CR67" s="16">
        <v>7891.6866258911996</v>
      </c>
      <c r="CS67" s="16">
        <v>7891.6866258911996</v>
      </c>
    </row>
    <row r="68" spans="1:123" ht="9.75" customHeight="1">
      <c r="A68" s="16" t="s">
        <v>349</v>
      </c>
      <c r="B68" s="16" t="s">
        <v>511</v>
      </c>
      <c r="C68" s="16" t="s">
        <v>85</v>
      </c>
      <c r="D68" s="16" t="s">
        <v>85</v>
      </c>
      <c r="E68" s="16" t="s">
        <v>86</v>
      </c>
      <c r="F68" s="16" t="s">
        <v>350</v>
      </c>
      <c r="G68" s="16" t="s">
        <v>351</v>
      </c>
      <c r="H68" s="16" t="s">
        <v>352</v>
      </c>
      <c r="I68" s="16" t="s">
        <v>1758</v>
      </c>
      <c r="K68" s="16" t="s">
        <v>353</v>
      </c>
      <c r="L68" s="16" t="s">
        <v>43</v>
      </c>
      <c r="M68" s="16" t="s">
        <v>1539</v>
      </c>
      <c r="P68" s="16" t="s">
        <v>354</v>
      </c>
      <c r="Q68" s="16" t="s">
        <v>1524</v>
      </c>
      <c r="R68" s="16" t="s">
        <v>1650</v>
      </c>
      <c r="S68" s="16">
        <v>4438.6899999999996</v>
      </c>
      <c r="T68" s="16">
        <v>5237.6541999999999</v>
      </c>
      <c r="U68" s="16">
        <v>4970.32</v>
      </c>
      <c r="V68" s="16">
        <v>5864.9776000000002</v>
      </c>
      <c r="W68" s="16">
        <v>4299.5847750864996</v>
      </c>
      <c r="X68" s="16">
        <v>5073.5100346020999</v>
      </c>
      <c r="Y68" s="16">
        <v>2200.0070000000001</v>
      </c>
      <c r="Z68" s="16">
        <v>1.1559999999999999</v>
      </c>
      <c r="AA68" s="16">
        <v>2543.2080919999999</v>
      </c>
      <c r="AB68" s="16">
        <v>10934.738792239999</v>
      </c>
      <c r="AC68" s="16">
        <v>12902.9917748432</v>
      </c>
      <c r="BA68" s="16">
        <v>4435.1400000000003</v>
      </c>
      <c r="BB68" s="16">
        <v>5233.4651999999996</v>
      </c>
      <c r="BC68" s="16">
        <v>4962.63</v>
      </c>
      <c r="BD68" s="16">
        <v>5855.9034000000001</v>
      </c>
      <c r="BE68" s="16">
        <v>4292.9325259515999</v>
      </c>
      <c r="BF68" s="16">
        <v>5065.6603806228004</v>
      </c>
      <c r="BG68" s="16">
        <v>1895.951</v>
      </c>
      <c r="BH68" s="16">
        <v>1.1559999999999999</v>
      </c>
      <c r="BI68" s="16">
        <v>2191.7193560000001</v>
      </c>
      <c r="BJ68" s="16">
        <v>9408.9033111299996</v>
      </c>
      <c r="BK68" s="16">
        <v>11102.5059071334</v>
      </c>
      <c r="CI68" s="16">
        <v>4415.38</v>
      </c>
      <c r="CJ68" s="16">
        <v>5210.1484</v>
      </c>
      <c r="CK68" s="16">
        <v>4942.6000000000004</v>
      </c>
      <c r="CL68" s="16">
        <v>5832.268</v>
      </c>
      <c r="CM68" s="16">
        <v>4271.9101123596001</v>
      </c>
      <c r="CN68" s="16">
        <v>5040.8539325843003</v>
      </c>
      <c r="CO68" s="16">
        <v>1426.441</v>
      </c>
      <c r="CP68" s="16">
        <v>1.157</v>
      </c>
      <c r="CQ68" s="16">
        <v>1650.392237</v>
      </c>
      <c r="CR68" s="16">
        <v>7050.3272865999998</v>
      </c>
      <c r="CS68" s="16">
        <v>8319.386198188</v>
      </c>
    </row>
    <row r="69" spans="1:123" ht="9.75" customHeight="1">
      <c r="A69" s="16" t="s">
        <v>355</v>
      </c>
      <c r="B69" s="16" t="s">
        <v>512</v>
      </c>
      <c r="C69" s="16" t="s">
        <v>70</v>
      </c>
      <c r="D69" s="16" t="s">
        <v>70</v>
      </c>
      <c r="E69" s="16" t="s">
        <v>71</v>
      </c>
      <c r="F69" s="16" t="s">
        <v>356</v>
      </c>
      <c r="G69" s="16" t="s">
        <v>357</v>
      </c>
      <c r="H69" s="16" t="s">
        <v>358</v>
      </c>
      <c r="I69" s="16" t="s">
        <v>1759</v>
      </c>
      <c r="J69" s="16" t="s">
        <v>359</v>
      </c>
      <c r="K69" s="16" t="s">
        <v>360</v>
      </c>
      <c r="L69" s="16" t="s">
        <v>43</v>
      </c>
      <c r="M69" s="16" t="s">
        <v>1539</v>
      </c>
      <c r="P69" s="16" t="s">
        <v>361</v>
      </c>
      <c r="Q69" s="16" t="s">
        <v>1524</v>
      </c>
      <c r="R69" s="16" t="s">
        <v>1650</v>
      </c>
      <c r="S69" s="16">
        <v>4717.7299999999996</v>
      </c>
      <c r="T69" s="16">
        <v>5566.9214000000002</v>
      </c>
      <c r="U69" s="16">
        <v>5338.53</v>
      </c>
      <c r="V69" s="16">
        <v>6299.4654</v>
      </c>
      <c r="W69" s="16">
        <v>4642.2</v>
      </c>
      <c r="X69" s="16">
        <v>5477.7960000000003</v>
      </c>
      <c r="Y69" s="16">
        <v>1420.66</v>
      </c>
      <c r="Z69" s="16">
        <v>1.1499999999999999</v>
      </c>
      <c r="AA69" s="16">
        <v>1633.759</v>
      </c>
      <c r="AB69" s="16">
        <v>7584.2360298000003</v>
      </c>
      <c r="AC69" s="16">
        <v>8949.3985151640009</v>
      </c>
      <c r="BA69" s="16">
        <v>4738.1000000000004</v>
      </c>
      <c r="BB69" s="16">
        <v>5590.9579999999996</v>
      </c>
      <c r="BC69" s="16">
        <v>5358.9</v>
      </c>
      <c r="BD69" s="16">
        <v>6323.5020000000004</v>
      </c>
      <c r="BE69" s="16">
        <v>4659.9130434783001</v>
      </c>
      <c r="BF69" s="16">
        <v>5498.6973913044003</v>
      </c>
      <c r="BG69" s="16">
        <v>1390.75</v>
      </c>
      <c r="BH69" s="16">
        <v>1.1499999999999999</v>
      </c>
      <c r="BI69" s="16">
        <v>1599.3625</v>
      </c>
      <c r="BJ69" s="16">
        <v>7452.8901750000005</v>
      </c>
      <c r="BK69" s="16">
        <v>8794.4104064999992</v>
      </c>
      <c r="CI69" s="16">
        <v>4554.05</v>
      </c>
      <c r="CJ69" s="16">
        <v>5373.7790000000005</v>
      </c>
      <c r="CK69" s="16">
        <v>5180.55</v>
      </c>
      <c r="CL69" s="16">
        <v>6113.049</v>
      </c>
      <c r="CM69" s="16">
        <v>4504.8260869565001</v>
      </c>
      <c r="CN69" s="16">
        <v>5315.6947826086998</v>
      </c>
      <c r="CO69" s="16">
        <v>1188.3623</v>
      </c>
      <c r="CP69" s="16">
        <v>1.1499999999999999</v>
      </c>
      <c r="CQ69" s="16">
        <v>1366.6166450000001</v>
      </c>
      <c r="CR69" s="16">
        <v>6156.3703132649998</v>
      </c>
      <c r="CS69" s="16">
        <v>7264.5169696527</v>
      </c>
      <c r="DS69" s="16" t="s">
        <v>1540</v>
      </c>
    </row>
    <row r="70" spans="1:123" ht="9.75" customHeight="1">
      <c r="A70" s="16" t="s">
        <v>355</v>
      </c>
      <c r="B70" s="16" t="s">
        <v>513</v>
      </c>
      <c r="C70" s="16" t="s">
        <v>70</v>
      </c>
      <c r="D70" s="16" t="s">
        <v>70</v>
      </c>
      <c r="E70" s="16" t="s">
        <v>71</v>
      </c>
      <c r="F70" s="16" t="s">
        <v>356</v>
      </c>
      <c r="G70" s="16" t="s">
        <v>357</v>
      </c>
      <c r="H70" s="16" t="s">
        <v>358</v>
      </c>
      <c r="I70" s="16" t="s">
        <v>1759</v>
      </c>
      <c r="J70" s="16" t="s">
        <v>359</v>
      </c>
      <c r="K70" s="16" t="s">
        <v>360</v>
      </c>
      <c r="L70" s="16" t="s">
        <v>43</v>
      </c>
      <c r="M70" s="16" t="s">
        <v>1539</v>
      </c>
      <c r="P70" s="16" t="s">
        <v>361</v>
      </c>
      <c r="Q70" s="16" t="s">
        <v>1579</v>
      </c>
      <c r="R70" s="16" t="s">
        <v>1579</v>
      </c>
      <c r="S70" s="16">
        <v>9744.51</v>
      </c>
      <c r="T70" s="16">
        <v>11498.5218</v>
      </c>
      <c r="U70" s="16">
        <v>10708.71</v>
      </c>
      <c r="V70" s="16">
        <v>12636.2778</v>
      </c>
      <c r="W70" s="16">
        <v>7816.5766423358</v>
      </c>
      <c r="X70" s="16">
        <v>9223.5604379561992</v>
      </c>
      <c r="Y70" s="16">
        <v>2386.7919999999999</v>
      </c>
      <c r="Z70" s="16">
        <v>1.37</v>
      </c>
      <c r="AA70" s="16">
        <v>3269.9050400000001</v>
      </c>
      <c r="AB70" s="16">
        <v>25559.463358320001</v>
      </c>
      <c r="AC70" s="16">
        <v>30160.1667628176</v>
      </c>
      <c r="AL70" s="16">
        <v>964.2</v>
      </c>
      <c r="AM70" s="16">
        <v>1137.7560000000001</v>
      </c>
      <c r="AN70" s="16">
        <v>2386.7919999999999</v>
      </c>
      <c r="AO70" s="16">
        <v>2301.3448463999998</v>
      </c>
      <c r="AP70" s="16">
        <v>2715.5869187520002</v>
      </c>
      <c r="BA70" s="16">
        <v>9604.85</v>
      </c>
      <c r="BB70" s="16">
        <v>11333.723</v>
      </c>
      <c r="BC70" s="16">
        <v>10569.05</v>
      </c>
      <c r="BD70" s="16">
        <v>12471.478999999999</v>
      </c>
      <c r="BE70" s="16">
        <v>7714.6384123546004</v>
      </c>
      <c r="BF70" s="16">
        <v>9103.2733265784009</v>
      </c>
      <c r="BG70" s="16">
        <v>2001.76</v>
      </c>
      <c r="BH70" s="16">
        <v>1.3699994005</v>
      </c>
      <c r="BI70" s="16">
        <v>2742.4099999448999</v>
      </c>
      <c r="BJ70" s="16">
        <v>21156.701528000001</v>
      </c>
      <c r="BK70" s="16">
        <v>24964.907803040001</v>
      </c>
      <c r="BT70" s="16">
        <v>964.2</v>
      </c>
      <c r="BU70" s="16">
        <v>1137.7560000000001</v>
      </c>
      <c r="BV70" s="16">
        <v>2001.76</v>
      </c>
      <c r="BW70" s="16">
        <v>1930.096992</v>
      </c>
      <c r="BX70" s="16">
        <v>2277.5144505600001</v>
      </c>
      <c r="CI70" s="16">
        <v>9939.34</v>
      </c>
      <c r="CJ70" s="16">
        <v>11728.421200000001</v>
      </c>
      <c r="CK70" s="16">
        <v>10903.54</v>
      </c>
      <c r="CL70" s="16">
        <v>12866.1772</v>
      </c>
      <c r="CM70" s="16">
        <v>7958.7883211679</v>
      </c>
      <c r="CN70" s="16">
        <v>9391.3702189780997</v>
      </c>
      <c r="CO70" s="16">
        <v>1518.857</v>
      </c>
      <c r="CP70" s="16">
        <v>1.37</v>
      </c>
      <c r="CQ70" s="16">
        <v>2080.8340899999998</v>
      </c>
      <c r="CR70" s="16">
        <v>16560.918053779998</v>
      </c>
      <c r="CS70" s="16">
        <v>19541.883303460399</v>
      </c>
      <c r="DB70" s="16">
        <v>964.2</v>
      </c>
      <c r="DC70" s="16">
        <v>1137.7560000000001</v>
      </c>
      <c r="DD70" s="16">
        <v>1518.857</v>
      </c>
      <c r="DE70" s="16">
        <v>1464.4819193999999</v>
      </c>
      <c r="DF70" s="16">
        <v>1728.088664892</v>
      </c>
      <c r="DS70" s="16" t="s">
        <v>1540</v>
      </c>
    </row>
    <row r="71" spans="1:123" ht="9.75" customHeight="1">
      <c r="A71" s="16" t="s">
        <v>362</v>
      </c>
      <c r="B71" s="16" t="s">
        <v>514</v>
      </c>
      <c r="C71" s="16" t="s">
        <v>70</v>
      </c>
      <c r="D71" s="16" t="s">
        <v>70</v>
      </c>
      <c r="E71" s="16" t="s">
        <v>71</v>
      </c>
      <c r="F71" s="16" t="s">
        <v>363</v>
      </c>
      <c r="G71" s="16" t="s">
        <v>98</v>
      </c>
      <c r="H71" s="16" t="s">
        <v>364</v>
      </c>
      <c r="I71" s="16" t="s">
        <v>1758</v>
      </c>
      <c r="K71" s="16" t="s">
        <v>134</v>
      </c>
      <c r="L71" s="16" t="s">
        <v>43</v>
      </c>
      <c r="M71" s="16" t="s">
        <v>1539</v>
      </c>
      <c r="Q71" s="16" t="s">
        <v>1524</v>
      </c>
      <c r="R71" s="16" t="s">
        <v>1650</v>
      </c>
      <c r="S71" s="16">
        <v>4285.16</v>
      </c>
      <c r="T71" s="16">
        <v>5056.4888000000001</v>
      </c>
      <c r="U71" s="16">
        <v>4907.84</v>
      </c>
      <c r="V71" s="16">
        <v>5791.2511999999997</v>
      </c>
      <c r="W71" s="16">
        <v>4267.6869565217003</v>
      </c>
      <c r="X71" s="16">
        <v>5035.8706086957</v>
      </c>
      <c r="Y71" s="16">
        <v>127.626</v>
      </c>
      <c r="Z71" s="16">
        <v>1.1499999999999999</v>
      </c>
      <c r="AA71" s="16">
        <v>146.76990000000001</v>
      </c>
      <c r="AB71" s="16">
        <v>626.36798783999996</v>
      </c>
      <c r="AC71" s="16">
        <v>739.11422565119994</v>
      </c>
      <c r="BA71" s="16">
        <v>4285.16</v>
      </c>
      <c r="BB71" s="16">
        <v>5056.4888000000001</v>
      </c>
      <c r="BC71" s="16">
        <v>4907.84</v>
      </c>
      <c r="BD71" s="16">
        <v>5791.2511999999997</v>
      </c>
      <c r="BE71" s="16">
        <v>4267.6869565217003</v>
      </c>
      <c r="BF71" s="16">
        <v>5035.8706086957</v>
      </c>
      <c r="BG71" s="16">
        <v>127.626</v>
      </c>
      <c r="BH71" s="16">
        <v>1.1499999999999999</v>
      </c>
      <c r="BI71" s="16">
        <v>146.76990000000001</v>
      </c>
      <c r="BJ71" s="16">
        <v>626.36798783999996</v>
      </c>
      <c r="BK71" s="16">
        <v>739.11422565119994</v>
      </c>
      <c r="CI71" s="16">
        <v>4282.22</v>
      </c>
      <c r="CJ71" s="16">
        <v>5053.0195999999996</v>
      </c>
      <c r="CK71" s="16">
        <v>4904.49</v>
      </c>
      <c r="CL71" s="16">
        <v>5787.2982000000002</v>
      </c>
      <c r="CM71" s="16">
        <v>4264.7739130435002</v>
      </c>
      <c r="CN71" s="16">
        <v>5032.4332173912999</v>
      </c>
      <c r="CO71" s="16">
        <v>95.53</v>
      </c>
      <c r="CP71" s="16">
        <v>1.1499999999999999</v>
      </c>
      <c r="CQ71" s="16">
        <v>109.8595</v>
      </c>
      <c r="CR71" s="16">
        <v>468.52592970000001</v>
      </c>
      <c r="CS71" s="16">
        <v>552.86059704599995</v>
      </c>
    </row>
    <row r="72" spans="1:123" ht="9.75" customHeight="1">
      <c r="A72" s="16" t="s">
        <v>365</v>
      </c>
      <c r="B72" s="16" t="s">
        <v>515</v>
      </c>
      <c r="C72" s="16" t="s">
        <v>271</v>
      </c>
      <c r="D72" s="16" t="s">
        <v>271</v>
      </c>
      <c r="E72" s="16" t="s">
        <v>272</v>
      </c>
      <c r="F72" s="16" t="s">
        <v>103</v>
      </c>
      <c r="G72" s="16" t="s">
        <v>366</v>
      </c>
      <c r="H72" s="16" t="s">
        <v>367</v>
      </c>
      <c r="I72" s="16" t="s">
        <v>1759</v>
      </c>
      <c r="L72" s="16" t="s">
        <v>43</v>
      </c>
      <c r="M72" s="16" t="s">
        <v>1539</v>
      </c>
      <c r="Q72" s="16" t="s">
        <v>1524</v>
      </c>
      <c r="R72" s="16" t="s">
        <v>1650</v>
      </c>
      <c r="S72" s="16">
        <v>4393.3620000000001</v>
      </c>
      <c r="T72" s="16">
        <v>5184.16716</v>
      </c>
      <c r="U72" s="16">
        <v>5015.5619999999999</v>
      </c>
      <c r="V72" s="16">
        <v>5918.3631599999999</v>
      </c>
      <c r="W72" s="16">
        <v>4361.3582608695997</v>
      </c>
      <c r="X72" s="16">
        <v>5146.4027478260996</v>
      </c>
      <c r="Y72" s="16">
        <v>1056.356</v>
      </c>
      <c r="Z72" s="16">
        <v>1.1499999999999999</v>
      </c>
      <c r="AA72" s="16">
        <v>1214.8094000000001</v>
      </c>
      <c r="AB72" s="16">
        <v>5298.2190120719997</v>
      </c>
      <c r="AC72" s="16">
        <v>6251.8984342450003</v>
      </c>
      <c r="BA72" s="16">
        <v>4404.549</v>
      </c>
      <c r="BB72" s="16">
        <v>5197.3678200000004</v>
      </c>
      <c r="BC72" s="16">
        <v>5029.1090000000004</v>
      </c>
      <c r="BD72" s="16">
        <v>5934.3486199999998</v>
      </c>
      <c r="BE72" s="16">
        <v>4373.1382608696003</v>
      </c>
      <c r="BF72" s="16">
        <v>5160.3031478261</v>
      </c>
      <c r="BG72" s="16">
        <v>918.39599999999996</v>
      </c>
      <c r="BH72" s="16">
        <v>1.1499999999999999</v>
      </c>
      <c r="BI72" s="16">
        <v>1056.1554000000001</v>
      </c>
      <c r="BJ72" s="16">
        <v>4618.713589164</v>
      </c>
      <c r="BK72" s="16">
        <v>5450.0820352134997</v>
      </c>
      <c r="CI72" s="16">
        <v>4412.8500000000004</v>
      </c>
      <c r="CJ72" s="16">
        <v>5207.1629999999996</v>
      </c>
      <c r="CK72" s="16">
        <v>5037.4054999999998</v>
      </c>
      <c r="CL72" s="16">
        <v>5944.1384900000003</v>
      </c>
      <c r="CM72" s="16">
        <v>4380.3526086956999</v>
      </c>
      <c r="CN72" s="16">
        <v>5168.8160782609002</v>
      </c>
      <c r="CO72" s="16">
        <v>686.55899999999997</v>
      </c>
      <c r="CP72" s="16">
        <v>1.1499999999999999</v>
      </c>
      <c r="CQ72" s="16">
        <v>789.54285000000004</v>
      </c>
      <c r="CR72" s="16">
        <v>3458.4760826745</v>
      </c>
      <c r="CS72" s="16">
        <v>4081.0017775558999</v>
      </c>
    </row>
    <row r="73" spans="1:123" ht="9.75" customHeight="1">
      <c r="A73" s="16" t="s">
        <v>368</v>
      </c>
      <c r="B73" s="16" t="s">
        <v>516</v>
      </c>
      <c r="C73" s="16" t="s">
        <v>85</v>
      </c>
      <c r="D73" s="16" t="s">
        <v>85</v>
      </c>
      <c r="E73" s="16" t="s">
        <v>86</v>
      </c>
      <c r="F73" s="16" t="s">
        <v>103</v>
      </c>
      <c r="G73" s="16" t="s">
        <v>366</v>
      </c>
      <c r="H73" s="16" t="s">
        <v>367</v>
      </c>
      <c r="I73" s="16" t="s">
        <v>1759</v>
      </c>
      <c r="L73" s="16" t="s">
        <v>43</v>
      </c>
      <c r="M73" s="16" t="s">
        <v>1539</v>
      </c>
      <c r="Q73" s="16" t="s">
        <v>1524</v>
      </c>
      <c r="R73" s="16" t="s">
        <v>1650</v>
      </c>
      <c r="S73" s="16">
        <v>4392.0339999999997</v>
      </c>
      <c r="T73" s="16">
        <v>5182.6001200000001</v>
      </c>
      <c r="U73" s="16">
        <v>5014.2340000000004</v>
      </c>
      <c r="V73" s="16">
        <v>5916.79612</v>
      </c>
      <c r="W73" s="16">
        <v>4360.2034782608998</v>
      </c>
      <c r="X73" s="16">
        <v>5145.0401043477996</v>
      </c>
      <c r="Y73" s="16">
        <v>1134.799</v>
      </c>
      <c r="Z73" s="16">
        <v>1.1499999999999999</v>
      </c>
      <c r="AA73" s="16">
        <v>1305.0188499999999</v>
      </c>
      <c r="AB73" s="16">
        <v>5690.1477289659997</v>
      </c>
      <c r="AC73" s="16">
        <v>6714.3743201798998</v>
      </c>
      <c r="BA73" s="16">
        <v>4406.8289999999997</v>
      </c>
      <c r="BB73" s="16">
        <v>5200.0582199999999</v>
      </c>
      <c r="BC73" s="16">
        <v>5031.3890000000001</v>
      </c>
      <c r="BD73" s="16">
        <v>5937.0390200000002</v>
      </c>
      <c r="BE73" s="16">
        <v>4375.1208695652003</v>
      </c>
      <c r="BF73" s="16">
        <v>5162.6426260870003</v>
      </c>
      <c r="BG73" s="16">
        <v>951.15899999999999</v>
      </c>
      <c r="BH73" s="16">
        <v>1.1499999999999999</v>
      </c>
      <c r="BI73" s="16">
        <v>1093.83285</v>
      </c>
      <c r="BJ73" s="16">
        <v>4785.650929851</v>
      </c>
      <c r="BK73" s="16">
        <v>5647.0680972241998</v>
      </c>
      <c r="CI73" s="16">
        <v>4414.3599999999997</v>
      </c>
      <c r="CJ73" s="16">
        <v>5208.9448000000002</v>
      </c>
      <c r="CK73" s="16">
        <v>5037.6704</v>
      </c>
      <c r="CL73" s="16">
        <v>5944.4510719999998</v>
      </c>
      <c r="CM73" s="16">
        <v>4380.5829565217</v>
      </c>
      <c r="CN73" s="16">
        <v>5169.0878886956998</v>
      </c>
      <c r="CO73" s="16">
        <v>770.822</v>
      </c>
      <c r="CP73" s="16">
        <v>1.1499999999999999</v>
      </c>
      <c r="CQ73" s="16">
        <v>886.44529999999997</v>
      </c>
      <c r="CR73" s="16">
        <v>3883.1471730687999</v>
      </c>
      <c r="CS73" s="16">
        <v>4582.1136642212005</v>
      </c>
    </row>
    <row r="74" spans="1:123" ht="9.75" customHeight="1">
      <c r="A74" s="16" t="s">
        <v>369</v>
      </c>
      <c r="B74" s="16" t="s">
        <v>517</v>
      </c>
      <c r="C74" s="16" t="s">
        <v>184</v>
      </c>
      <c r="D74" s="16" t="s">
        <v>370</v>
      </c>
      <c r="E74" s="16" t="s">
        <v>371</v>
      </c>
      <c r="F74" s="16" t="s">
        <v>103</v>
      </c>
      <c r="G74" s="16" t="s">
        <v>366</v>
      </c>
      <c r="H74" s="16" t="s">
        <v>367</v>
      </c>
      <c r="I74" s="16" t="s">
        <v>1759</v>
      </c>
      <c r="L74" s="16" t="s">
        <v>43</v>
      </c>
      <c r="M74" s="16" t="s">
        <v>1539</v>
      </c>
      <c r="Q74" s="16" t="s">
        <v>1524</v>
      </c>
      <c r="R74" s="16" t="s">
        <v>1650</v>
      </c>
      <c r="S74" s="16">
        <v>4408.8100000000004</v>
      </c>
      <c r="T74" s="16">
        <v>5202.3958000000002</v>
      </c>
      <c r="U74" s="16">
        <v>5202.3958000000002</v>
      </c>
      <c r="V74" s="16">
        <v>6138.8270439999997</v>
      </c>
      <c r="W74" s="16">
        <v>4523.8224347825999</v>
      </c>
      <c r="X74" s="16">
        <v>5338.1104730435</v>
      </c>
      <c r="Y74" s="16">
        <v>9.1829999999999998</v>
      </c>
      <c r="Z74" s="16">
        <v>1.1499999999999999</v>
      </c>
      <c r="AA74" s="16">
        <v>10.560449999999999</v>
      </c>
      <c r="AB74" s="16">
        <v>47.773600631400001</v>
      </c>
      <c r="AC74" s="16">
        <v>56.372848745100001</v>
      </c>
      <c r="BA74" s="16">
        <v>4408.8100000000004</v>
      </c>
      <c r="BB74" s="16">
        <v>5202.3958000000002</v>
      </c>
      <c r="BC74" s="16">
        <v>5033.37</v>
      </c>
      <c r="BD74" s="16">
        <v>5939.3765999999996</v>
      </c>
      <c r="BE74" s="16">
        <v>4376.8434782609002</v>
      </c>
      <c r="BF74" s="16">
        <v>5164.6753043478002</v>
      </c>
      <c r="BG74" s="16">
        <v>9.1829999999999998</v>
      </c>
      <c r="BH74" s="16">
        <v>1.1499999999999999</v>
      </c>
      <c r="BI74" s="16">
        <v>10.560449999999999</v>
      </c>
      <c r="BJ74" s="16">
        <v>46.221436709999999</v>
      </c>
      <c r="BK74" s="16">
        <v>54.5412953178</v>
      </c>
      <c r="CI74" s="16">
        <v>4413.54</v>
      </c>
      <c r="CJ74" s="16">
        <v>5207.9772000000003</v>
      </c>
      <c r="CK74" s="16">
        <v>5040.0378000000001</v>
      </c>
      <c r="CL74" s="16">
        <v>5947.2446040000004</v>
      </c>
      <c r="CM74" s="16">
        <v>4382.6415652174001</v>
      </c>
      <c r="CN74" s="16">
        <v>5171.5170469565001</v>
      </c>
      <c r="CO74" s="16">
        <v>7.383</v>
      </c>
      <c r="CP74" s="16">
        <v>1.1499999999999999</v>
      </c>
      <c r="CQ74" s="16">
        <v>8.4904499999999992</v>
      </c>
      <c r="CR74" s="16">
        <v>37.210599077399998</v>
      </c>
      <c r="CS74" s="16">
        <v>43.908506911300002</v>
      </c>
    </row>
    <row r="75" spans="1:123" ht="9.75" customHeight="1">
      <c r="A75" s="16" t="s">
        <v>372</v>
      </c>
      <c r="B75" s="16" t="s">
        <v>518</v>
      </c>
      <c r="C75" s="16" t="s">
        <v>184</v>
      </c>
      <c r="D75" s="16" t="s">
        <v>373</v>
      </c>
      <c r="E75" s="16" t="s">
        <v>374</v>
      </c>
      <c r="F75" s="16" t="s">
        <v>103</v>
      </c>
      <c r="G75" s="16" t="s">
        <v>366</v>
      </c>
      <c r="H75" s="16" t="s">
        <v>367</v>
      </c>
      <c r="I75" s="16" t="s">
        <v>1759</v>
      </c>
      <c r="L75" s="16" t="s">
        <v>43</v>
      </c>
      <c r="M75" s="16" t="s">
        <v>1539</v>
      </c>
      <c r="Q75" s="16" t="s">
        <v>1524</v>
      </c>
      <c r="R75" s="16" t="s">
        <v>1650</v>
      </c>
      <c r="S75" s="16">
        <v>4419.2259999999997</v>
      </c>
      <c r="T75" s="16">
        <v>5214.6866799999998</v>
      </c>
      <c r="U75" s="16">
        <v>5043.7860000000001</v>
      </c>
      <c r="V75" s="16">
        <v>5951.6674800000001</v>
      </c>
      <c r="W75" s="16">
        <v>4385.9008695652001</v>
      </c>
      <c r="X75" s="16">
        <v>5175.3630260870004</v>
      </c>
      <c r="Y75" s="16">
        <v>31.536999999999999</v>
      </c>
      <c r="Z75" s="16">
        <v>1.1499999999999999</v>
      </c>
      <c r="AA75" s="16">
        <v>36.26755</v>
      </c>
      <c r="AB75" s="16">
        <v>159.06587908200001</v>
      </c>
      <c r="AC75" s="16">
        <v>187.69773731679999</v>
      </c>
      <c r="BA75" s="16">
        <v>4419.2259999999997</v>
      </c>
      <c r="BB75" s="16">
        <v>5214.6866799999998</v>
      </c>
      <c r="BC75" s="16">
        <v>5043.7860000000001</v>
      </c>
      <c r="BD75" s="16">
        <v>5951.6674800000001</v>
      </c>
      <c r="BE75" s="16">
        <v>4385.9008695652001</v>
      </c>
      <c r="BF75" s="16">
        <v>5175.3630260870004</v>
      </c>
      <c r="BG75" s="16">
        <v>31.536999999999999</v>
      </c>
      <c r="BH75" s="16">
        <v>1.1499999999999999</v>
      </c>
      <c r="BI75" s="16">
        <v>36.26755</v>
      </c>
      <c r="BJ75" s="16">
        <v>159.06587908200001</v>
      </c>
      <c r="BK75" s="16">
        <v>187.69773731679999</v>
      </c>
      <c r="CI75" s="16">
        <v>4415.67</v>
      </c>
      <c r="CJ75" s="16">
        <v>5210.4906000000001</v>
      </c>
      <c r="CK75" s="16">
        <v>5040.2311</v>
      </c>
      <c r="CL75" s="16">
        <v>5947.4726979999996</v>
      </c>
      <c r="CM75" s="16">
        <v>4382.8096521738998</v>
      </c>
      <c r="CN75" s="16">
        <v>5171.7153895652</v>
      </c>
      <c r="CO75" s="16">
        <v>22.866</v>
      </c>
      <c r="CP75" s="16">
        <v>1.1499999999999999</v>
      </c>
      <c r="CQ75" s="16">
        <v>26.2959</v>
      </c>
      <c r="CR75" s="16">
        <v>115.2499243326</v>
      </c>
      <c r="CS75" s="16">
        <v>135.9949107125</v>
      </c>
    </row>
    <row r="76" spans="1:123" ht="9.75" customHeight="1">
      <c r="A76" s="16" t="s">
        <v>375</v>
      </c>
      <c r="B76" s="16" t="s">
        <v>519</v>
      </c>
      <c r="C76" s="16" t="s">
        <v>62</v>
      </c>
      <c r="D76" s="16" t="s">
        <v>376</v>
      </c>
      <c r="E76" s="16" t="s">
        <v>377</v>
      </c>
      <c r="F76" s="16" t="s">
        <v>103</v>
      </c>
      <c r="G76" s="16" t="s">
        <v>366</v>
      </c>
      <c r="H76" s="16" t="s">
        <v>367</v>
      </c>
      <c r="I76" s="16" t="s">
        <v>1759</v>
      </c>
      <c r="L76" s="16" t="s">
        <v>43</v>
      </c>
      <c r="M76" s="16" t="s">
        <v>1539</v>
      </c>
      <c r="Q76" s="16" t="s">
        <v>1524</v>
      </c>
      <c r="R76" s="16" t="s">
        <v>1650</v>
      </c>
      <c r="S76" s="16">
        <v>4410.7460000000001</v>
      </c>
      <c r="T76" s="16">
        <v>5204.6802799999996</v>
      </c>
      <c r="U76" s="16">
        <v>5035.3059999999996</v>
      </c>
      <c r="V76" s="16">
        <v>5941.6610799999999</v>
      </c>
      <c r="W76" s="16">
        <v>4378.5269565217004</v>
      </c>
      <c r="X76" s="16">
        <v>5166.6618086956996</v>
      </c>
      <c r="Y76" s="16">
        <v>31.106999999999999</v>
      </c>
      <c r="Z76" s="16">
        <v>1.1499999999999999</v>
      </c>
      <c r="AA76" s="16">
        <v>35.773049999999998</v>
      </c>
      <c r="AB76" s="16">
        <v>156.633263742</v>
      </c>
      <c r="AC76" s="16">
        <v>184.8272512156</v>
      </c>
      <c r="BA76" s="16">
        <v>4410.7460000000001</v>
      </c>
      <c r="BB76" s="16">
        <v>5204.6802799999996</v>
      </c>
      <c r="BC76" s="16">
        <v>5035.3059999999996</v>
      </c>
      <c r="BD76" s="16">
        <v>5941.6610799999999</v>
      </c>
      <c r="BE76" s="16">
        <v>4378.5269565217004</v>
      </c>
      <c r="BF76" s="16">
        <v>5166.6618086956996</v>
      </c>
      <c r="BG76" s="16">
        <v>31.106999999999999</v>
      </c>
      <c r="BH76" s="16">
        <v>1.1499999999999999</v>
      </c>
      <c r="BI76" s="16">
        <v>35.773049999999998</v>
      </c>
      <c r="BJ76" s="16">
        <v>156.633263742</v>
      </c>
      <c r="BK76" s="16">
        <v>184.8272512156</v>
      </c>
      <c r="CI76" s="16">
        <v>4413.8900000000003</v>
      </c>
      <c r="CJ76" s="16">
        <v>5208.3901999999998</v>
      </c>
      <c r="CK76" s="16">
        <v>5038.4546</v>
      </c>
      <c r="CL76" s="16">
        <v>5945.3764279999996</v>
      </c>
      <c r="CM76" s="16">
        <v>4381.2648695651997</v>
      </c>
      <c r="CN76" s="16">
        <v>5169.8925460869996</v>
      </c>
      <c r="CO76" s="16">
        <v>27.8</v>
      </c>
      <c r="CP76" s="16">
        <v>1.1499999999999999</v>
      </c>
      <c r="CQ76" s="16">
        <v>31.97</v>
      </c>
      <c r="CR76" s="16">
        <v>140.06903788</v>
      </c>
      <c r="CS76" s="16">
        <v>165.28146469839999</v>
      </c>
    </row>
    <row r="77" spans="1:123" ht="9.75" customHeight="1">
      <c r="A77" s="16" t="s">
        <v>378</v>
      </c>
      <c r="B77" s="16" t="s">
        <v>520</v>
      </c>
      <c r="C77" s="16" t="s">
        <v>379</v>
      </c>
      <c r="D77" s="16" t="s">
        <v>380</v>
      </c>
      <c r="E77" s="16" t="s">
        <v>381</v>
      </c>
      <c r="F77" s="16" t="s">
        <v>103</v>
      </c>
      <c r="G77" s="16" t="s">
        <v>366</v>
      </c>
      <c r="H77" s="16" t="s">
        <v>367</v>
      </c>
      <c r="I77" s="16" t="s">
        <v>1759</v>
      </c>
      <c r="L77" s="16" t="s">
        <v>43</v>
      </c>
      <c r="M77" s="16" t="s">
        <v>1539</v>
      </c>
      <c r="Q77" s="16" t="s">
        <v>1524</v>
      </c>
      <c r="R77" s="16" t="s">
        <v>1650</v>
      </c>
      <c r="S77" s="16">
        <v>4416.5820000000003</v>
      </c>
      <c r="T77" s="16">
        <v>5211.5667599999997</v>
      </c>
      <c r="U77" s="16">
        <v>5041.1419999999998</v>
      </c>
      <c r="V77" s="16">
        <v>5948.54756</v>
      </c>
      <c r="W77" s="16">
        <v>4383.6017391304003</v>
      </c>
      <c r="X77" s="16">
        <v>5172.6500521738999</v>
      </c>
      <c r="Y77" s="16">
        <v>16.427</v>
      </c>
      <c r="Z77" s="16">
        <v>1.1499999999999999</v>
      </c>
      <c r="AA77" s="16">
        <v>18.89105</v>
      </c>
      <c r="AB77" s="16">
        <v>82.810839634000004</v>
      </c>
      <c r="AC77" s="16">
        <v>97.716790768099997</v>
      </c>
      <c r="BA77" s="16">
        <v>4416.5820000000003</v>
      </c>
      <c r="BB77" s="16">
        <v>5211.5667599999997</v>
      </c>
      <c r="BC77" s="16">
        <v>5041.1419999999998</v>
      </c>
      <c r="BD77" s="16">
        <v>5948.54756</v>
      </c>
      <c r="BE77" s="16">
        <v>4383.6017391304003</v>
      </c>
      <c r="BF77" s="16">
        <v>5172.6500521738999</v>
      </c>
      <c r="BG77" s="16">
        <v>16.427</v>
      </c>
      <c r="BH77" s="16">
        <v>1.1499999999999999</v>
      </c>
      <c r="BI77" s="16">
        <v>18.89105</v>
      </c>
      <c r="BJ77" s="16">
        <v>82.810839634000004</v>
      </c>
      <c r="BK77" s="16">
        <v>97.716790768099997</v>
      </c>
      <c r="CI77" s="16">
        <v>4422.4399999999996</v>
      </c>
      <c r="CJ77" s="16">
        <v>5218.4791999999998</v>
      </c>
      <c r="CK77" s="16">
        <v>5045.7541000000001</v>
      </c>
      <c r="CL77" s="16">
        <v>5953.9898380000004</v>
      </c>
      <c r="CM77" s="16">
        <v>4387.6122608695996</v>
      </c>
      <c r="CN77" s="16">
        <v>5177.3824678260999</v>
      </c>
      <c r="CO77" s="16">
        <v>14.404</v>
      </c>
      <c r="CP77" s="16">
        <v>1.1499999999999999</v>
      </c>
      <c r="CQ77" s="16">
        <v>16.564599999999999</v>
      </c>
      <c r="CR77" s="16">
        <v>72.679042056399993</v>
      </c>
      <c r="CS77" s="16">
        <v>85.761269626599997</v>
      </c>
    </row>
    <row r="78" spans="1:123" ht="9.75" customHeight="1">
      <c r="A78" s="16" t="s">
        <v>382</v>
      </c>
      <c r="B78" s="16" t="s">
        <v>521</v>
      </c>
      <c r="C78" s="16" t="s">
        <v>383</v>
      </c>
      <c r="D78" s="16" t="s">
        <v>383</v>
      </c>
      <c r="E78" s="16" t="s">
        <v>384</v>
      </c>
      <c r="F78" s="16" t="s">
        <v>103</v>
      </c>
      <c r="G78" s="16" t="s">
        <v>366</v>
      </c>
      <c r="H78" s="16" t="s">
        <v>367</v>
      </c>
      <c r="I78" s="16" t="s">
        <v>1759</v>
      </c>
      <c r="L78" s="16" t="s">
        <v>43</v>
      </c>
      <c r="M78" s="16" t="s">
        <v>1539</v>
      </c>
      <c r="Q78" s="16" t="s">
        <v>1524</v>
      </c>
      <c r="R78" s="16" t="s">
        <v>1650</v>
      </c>
      <c r="S78" s="16">
        <v>4408.2874867173996</v>
      </c>
      <c r="T78" s="16">
        <v>5201.7792343266001</v>
      </c>
      <c r="U78" s="16">
        <v>5030.4874867174003</v>
      </c>
      <c r="V78" s="16">
        <v>5935.9752343266</v>
      </c>
      <c r="W78" s="16">
        <v>4374.3369449717002</v>
      </c>
      <c r="X78" s="16">
        <v>5161.7175950665996</v>
      </c>
      <c r="Y78" s="16">
        <v>3180.86</v>
      </c>
      <c r="Z78" s="16">
        <v>1.1499999999999999</v>
      </c>
      <c r="AA78" s="16">
        <v>3657.989</v>
      </c>
      <c r="AB78" s="16">
        <v>16001.276427000001</v>
      </c>
      <c r="AC78" s="16">
        <v>18881.506183860001</v>
      </c>
      <c r="BA78" s="16">
        <v>4408.799</v>
      </c>
      <c r="BB78" s="16">
        <v>5202.3828199999998</v>
      </c>
      <c r="BC78" s="16">
        <v>5033.3590000000004</v>
      </c>
      <c r="BD78" s="16">
        <v>5939.3636200000001</v>
      </c>
      <c r="BE78" s="16">
        <v>4376.8339130434997</v>
      </c>
      <c r="BF78" s="16">
        <v>5164.6640173913001</v>
      </c>
      <c r="BG78" s="16">
        <v>2843.6689999999999</v>
      </c>
      <c r="BH78" s="16">
        <v>1.1499999999999999</v>
      </c>
      <c r="BI78" s="16">
        <v>3270.2193499999998</v>
      </c>
      <c r="BJ78" s="16">
        <v>14313.206954171001</v>
      </c>
      <c r="BK78" s="16">
        <v>16889.584205921801</v>
      </c>
      <c r="CI78" s="16">
        <v>4410.96</v>
      </c>
      <c r="CJ78" s="16">
        <v>5204.9327999999996</v>
      </c>
      <c r="CK78" s="16">
        <v>5034.2740000000003</v>
      </c>
      <c r="CL78" s="16">
        <v>5940.4433200000003</v>
      </c>
      <c r="CM78" s="16">
        <v>4377.6295652174003</v>
      </c>
      <c r="CN78" s="16">
        <v>5165.6028869564998</v>
      </c>
      <c r="CO78" s="16">
        <v>2149.3339999999998</v>
      </c>
      <c r="CP78" s="16">
        <v>1.1499999999999999</v>
      </c>
      <c r="CQ78" s="16">
        <v>2471.7341000000001</v>
      </c>
      <c r="CR78" s="16">
        <v>10820.336273516001</v>
      </c>
      <c r="CS78" s="16">
        <v>12767.996802748899</v>
      </c>
    </row>
    <row r="79" spans="1:123" ht="9.75" customHeight="1">
      <c r="A79" s="16" t="s">
        <v>385</v>
      </c>
      <c r="B79" s="16" t="s">
        <v>522</v>
      </c>
      <c r="C79" s="16" t="s">
        <v>77</v>
      </c>
      <c r="D79" s="16" t="s">
        <v>386</v>
      </c>
      <c r="E79" s="16" t="s">
        <v>387</v>
      </c>
      <c r="F79" s="16" t="s">
        <v>103</v>
      </c>
      <c r="G79" s="16" t="s">
        <v>366</v>
      </c>
      <c r="H79" s="16" t="s">
        <v>367</v>
      </c>
      <c r="I79" s="16" t="s">
        <v>1759</v>
      </c>
      <c r="L79" s="16" t="s">
        <v>43</v>
      </c>
      <c r="M79" s="16" t="s">
        <v>1539</v>
      </c>
      <c r="Q79" s="16" t="s">
        <v>1524</v>
      </c>
      <c r="R79" s="16" t="s">
        <v>1650</v>
      </c>
      <c r="S79" s="16">
        <v>4398.634</v>
      </c>
      <c r="T79" s="16">
        <v>5190.3881199999996</v>
      </c>
      <c r="U79" s="16">
        <v>5023.1940000000004</v>
      </c>
      <c r="V79" s="16">
        <v>5927.3689199999999</v>
      </c>
      <c r="W79" s="16">
        <v>4367.9947826087</v>
      </c>
      <c r="X79" s="16">
        <v>5154.2338434782996</v>
      </c>
      <c r="Y79" s="16">
        <v>6.8360000000000003</v>
      </c>
      <c r="Z79" s="16">
        <v>1.1499999999999999</v>
      </c>
      <c r="AA79" s="16">
        <v>7.8613999999999997</v>
      </c>
      <c r="AB79" s="16">
        <v>34.338554184000003</v>
      </c>
      <c r="AC79" s="16">
        <v>40.519493937100002</v>
      </c>
      <c r="BA79" s="16">
        <v>4398.634</v>
      </c>
      <c r="BB79" s="16">
        <v>5190.3881199999996</v>
      </c>
      <c r="BC79" s="16">
        <v>5023.1940000000004</v>
      </c>
      <c r="BD79" s="16">
        <v>5927.3689199999999</v>
      </c>
      <c r="BE79" s="16">
        <v>4367.9947826087</v>
      </c>
      <c r="BF79" s="16">
        <v>5154.2338434782996</v>
      </c>
      <c r="BG79" s="16">
        <v>6.8360000000000003</v>
      </c>
      <c r="BH79" s="16">
        <v>1.1499999999999999</v>
      </c>
      <c r="BI79" s="16">
        <v>7.8613999999999997</v>
      </c>
      <c r="BJ79" s="16">
        <v>34.338554184000003</v>
      </c>
      <c r="BK79" s="16">
        <v>40.519493937100002</v>
      </c>
      <c r="CI79" s="16">
        <v>4392.16</v>
      </c>
      <c r="CJ79" s="16">
        <v>5182.7488000000003</v>
      </c>
      <c r="CK79" s="16">
        <v>5016.7155700000003</v>
      </c>
      <c r="CL79" s="16">
        <v>5919.7243725999997</v>
      </c>
      <c r="CM79" s="16">
        <v>4362.3613652173999</v>
      </c>
      <c r="CN79" s="16">
        <v>5147.5864109565</v>
      </c>
      <c r="CO79" s="16">
        <v>5.7869999999999999</v>
      </c>
      <c r="CP79" s="16">
        <v>1.1499999999999999</v>
      </c>
      <c r="CQ79" s="16">
        <v>6.6550500000000001</v>
      </c>
      <c r="CR79" s="16">
        <v>29.031733003599999</v>
      </c>
      <c r="CS79" s="16">
        <v>34.257444944200003</v>
      </c>
    </row>
    <row r="80" spans="1:123" ht="9.75" customHeight="1">
      <c r="A80" s="16" t="s">
        <v>388</v>
      </c>
      <c r="B80" s="16" t="s">
        <v>523</v>
      </c>
      <c r="C80" s="16" t="s">
        <v>389</v>
      </c>
      <c r="D80" s="16" t="s">
        <v>390</v>
      </c>
      <c r="E80" s="16" t="s">
        <v>391</v>
      </c>
      <c r="F80" s="16" t="s">
        <v>103</v>
      </c>
      <c r="G80" s="16" t="s">
        <v>366</v>
      </c>
      <c r="H80" s="16" t="s">
        <v>367</v>
      </c>
      <c r="I80" s="16" t="s">
        <v>1759</v>
      </c>
      <c r="L80" s="16" t="s">
        <v>43</v>
      </c>
      <c r="M80" s="16" t="s">
        <v>1539</v>
      </c>
      <c r="Q80" s="16" t="s">
        <v>1524</v>
      </c>
      <c r="R80" s="16" t="s">
        <v>1650</v>
      </c>
      <c r="S80" s="16">
        <v>4457.8649999999998</v>
      </c>
      <c r="T80" s="16">
        <v>5260.2807000000003</v>
      </c>
      <c r="U80" s="16">
        <v>5082.4250000000002</v>
      </c>
      <c r="V80" s="16">
        <v>5997.2614999999996</v>
      </c>
      <c r="W80" s="16">
        <v>4419.5</v>
      </c>
      <c r="X80" s="16">
        <v>5215.01</v>
      </c>
      <c r="Y80" s="16">
        <v>21.638000000000002</v>
      </c>
      <c r="Z80" s="16">
        <v>1.1499999999999999</v>
      </c>
      <c r="AA80" s="16">
        <v>24.883700000000001</v>
      </c>
      <c r="AB80" s="16">
        <v>109.97351215</v>
      </c>
      <c r="AC80" s="16">
        <v>129.76874433699999</v>
      </c>
      <c r="BA80" s="16">
        <v>4457.8649999999998</v>
      </c>
      <c r="BB80" s="16">
        <v>5260.2807000000003</v>
      </c>
      <c r="BC80" s="16">
        <v>5082.4250000000002</v>
      </c>
      <c r="BD80" s="16">
        <v>5997.2614999999996</v>
      </c>
      <c r="BE80" s="16">
        <v>4419.5</v>
      </c>
      <c r="BF80" s="16">
        <v>5215.01</v>
      </c>
      <c r="BG80" s="16">
        <v>21.638000000000002</v>
      </c>
      <c r="BH80" s="16">
        <v>1.1499999999999999</v>
      </c>
      <c r="BI80" s="16">
        <v>24.883700000000001</v>
      </c>
      <c r="BJ80" s="16">
        <v>109.97351215</v>
      </c>
      <c r="BK80" s="16">
        <v>129.76874433699999</v>
      </c>
      <c r="CI80" s="16">
        <v>4444.1499999999996</v>
      </c>
      <c r="CJ80" s="16">
        <v>5244.0969999999998</v>
      </c>
      <c r="CK80" s="16">
        <v>5068.7145300000002</v>
      </c>
      <c r="CL80" s="16">
        <v>5981.0831453999999</v>
      </c>
      <c r="CM80" s="16">
        <v>4407.5778521739003</v>
      </c>
      <c r="CN80" s="16">
        <v>5200.9418655651998</v>
      </c>
      <c r="CO80" s="16">
        <v>18.341999999999999</v>
      </c>
      <c r="CP80" s="16">
        <v>1.1499999999999999</v>
      </c>
      <c r="CQ80" s="16">
        <v>21.093299999999999</v>
      </c>
      <c r="CR80" s="16">
        <v>92.970361909299996</v>
      </c>
      <c r="CS80" s="16">
        <v>109.70502705289999</v>
      </c>
    </row>
    <row r="81" spans="1:97" ht="9.75" customHeight="1">
      <c r="A81" s="16" t="s">
        <v>392</v>
      </c>
      <c r="B81" s="16" t="s">
        <v>524</v>
      </c>
      <c r="C81" s="16" t="s">
        <v>55</v>
      </c>
      <c r="D81" s="16" t="s">
        <v>55</v>
      </c>
      <c r="E81" s="16" t="s">
        <v>56</v>
      </c>
      <c r="F81" s="16" t="s">
        <v>103</v>
      </c>
      <c r="G81" s="16" t="s">
        <v>366</v>
      </c>
      <c r="H81" s="16" t="s">
        <v>367</v>
      </c>
      <c r="I81" s="16" t="s">
        <v>1759</v>
      </c>
      <c r="L81" s="16" t="s">
        <v>43</v>
      </c>
      <c r="M81" s="16" t="s">
        <v>1539</v>
      </c>
      <c r="Q81" s="16" t="s">
        <v>1524</v>
      </c>
      <c r="R81" s="16" t="s">
        <v>1650</v>
      </c>
      <c r="S81" s="16">
        <v>4400.5514773048999</v>
      </c>
      <c r="T81" s="16">
        <v>5192.6507432197996</v>
      </c>
      <c r="U81" s="16">
        <v>5023.7514773048997</v>
      </c>
      <c r="V81" s="16">
        <v>5928.0267432197998</v>
      </c>
      <c r="W81" s="16">
        <v>4368.4795454824998</v>
      </c>
      <c r="X81" s="16">
        <v>5154.8058636694004</v>
      </c>
      <c r="Y81" s="16">
        <v>324.916</v>
      </c>
      <c r="Z81" s="16">
        <v>1.1499999999999999</v>
      </c>
      <c r="AA81" s="16">
        <v>373.65339999999998</v>
      </c>
      <c r="AB81" s="16">
        <v>1632.297235</v>
      </c>
      <c r="AC81" s="16">
        <v>1926.1107373</v>
      </c>
      <c r="BA81" s="16">
        <v>4389.723</v>
      </c>
      <c r="BB81" s="16">
        <v>5179.8731399999997</v>
      </c>
      <c r="BC81" s="16">
        <v>5014.2830000000004</v>
      </c>
      <c r="BD81" s="16">
        <v>5916.85394</v>
      </c>
      <c r="BE81" s="16">
        <v>4360.2460869565002</v>
      </c>
      <c r="BF81" s="16">
        <v>5145.0903826086997</v>
      </c>
      <c r="BG81" s="16">
        <v>284.12299999999999</v>
      </c>
      <c r="BH81" s="16">
        <v>1.1499999999999999</v>
      </c>
      <c r="BI81" s="16">
        <v>326.74144999999999</v>
      </c>
      <c r="BJ81" s="16">
        <v>1424.673128809</v>
      </c>
      <c r="BK81" s="16">
        <v>1681.1142919946001</v>
      </c>
      <c r="CI81" s="16">
        <v>4410.0200000000004</v>
      </c>
      <c r="CJ81" s="16">
        <v>5203.8235999999997</v>
      </c>
      <c r="CK81" s="16">
        <v>5034.7749999999996</v>
      </c>
      <c r="CL81" s="16">
        <v>5941.0344999999998</v>
      </c>
      <c r="CM81" s="16">
        <v>4378.0652173913004</v>
      </c>
      <c r="CN81" s="16">
        <v>5166.1169565216996</v>
      </c>
      <c r="CO81" s="16">
        <v>238.10900000000001</v>
      </c>
      <c r="CP81" s="16">
        <v>1.1499999999999999</v>
      </c>
      <c r="CQ81" s="16">
        <v>273.82535000000001</v>
      </c>
      <c r="CR81" s="16">
        <v>1198.8252404750001</v>
      </c>
      <c r="CS81" s="16">
        <v>1414.6137837604999</v>
      </c>
    </row>
    <row r="82" spans="1:97" ht="9.75" customHeight="1">
      <c r="A82" s="16" t="s">
        <v>393</v>
      </c>
      <c r="B82" s="16" t="s">
        <v>525</v>
      </c>
      <c r="C82" s="16" t="s">
        <v>37</v>
      </c>
      <c r="D82" s="16" t="s">
        <v>394</v>
      </c>
      <c r="E82" s="16" t="s">
        <v>395</v>
      </c>
      <c r="F82" s="16" t="s">
        <v>103</v>
      </c>
      <c r="G82" s="16" t="s">
        <v>366</v>
      </c>
      <c r="H82" s="16" t="s">
        <v>367</v>
      </c>
      <c r="I82" s="16" t="s">
        <v>1759</v>
      </c>
      <c r="L82" s="16" t="s">
        <v>43</v>
      </c>
      <c r="M82" s="16" t="s">
        <v>1539</v>
      </c>
      <c r="Q82" s="16" t="s">
        <v>1524</v>
      </c>
      <c r="R82" s="16" t="s">
        <v>1650</v>
      </c>
      <c r="S82" s="16">
        <v>4455.7700000000004</v>
      </c>
      <c r="T82" s="16">
        <v>5257.8086000000003</v>
      </c>
      <c r="U82" s="16">
        <v>5080.33</v>
      </c>
      <c r="V82" s="16">
        <v>5994.7893999999997</v>
      </c>
      <c r="W82" s="16">
        <v>4417.6782608696003</v>
      </c>
      <c r="X82" s="16">
        <v>5212.8603478261002</v>
      </c>
      <c r="Y82" s="16">
        <v>13.416</v>
      </c>
      <c r="Z82" s="16">
        <v>1.1499999999999999</v>
      </c>
      <c r="AA82" s="16">
        <v>15.4284</v>
      </c>
      <c r="AB82" s="16">
        <v>68.157707279999997</v>
      </c>
      <c r="AC82" s="16">
        <v>80.426094590399998</v>
      </c>
      <c r="BA82" s="16">
        <v>4455.7700000000004</v>
      </c>
      <c r="BB82" s="16">
        <v>5257.8086000000003</v>
      </c>
      <c r="BC82" s="16">
        <v>5080.33</v>
      </c>
      <c r="BD82" s="16">
        <v>5994.7893999999997</v>
      </c>
      <c r="BE82" s="16">
        <v>4417.6782608696003</v>
      </c>
      <c r="BF82" s="16">
        <v>5212.8603478261002</v>
      </c>
      <c r="BG82" s="16">
        <v>13.416</v>
      </c>
      <c r="BH82" s="16">
        <v>1.1499999999999999</v>
      </c>
      <c r="BI82" s="16">
        <v>15.4284</v>
      </c>
      <c r="BJ82" s="16">
        <v>68.157707279999997</v>
      </c>
      <c r="BK82" s="16">
        <v>80.426094590399998</v>
      </c>
      <c r="CI82" s="16">
        <v>4448.8900000000003</v>
      </c>
      <c r="CJ82" s="16">
        <v>5249.6902</v>
      </c>
      <c r="CK82" s="16">
        <v>5073.4539999999997</v>
      </c>
      <c r="CL82" s="16">
        <v>5986.6757200000002</v>
      </c>
      <c r="CM82" s="16">
        <v>4411.6991304348003</v>
      </c>
      <c r="CN82" s="16">
        <v>5205.8049739130001</v>
      </c>
      <c r="CO82" s="16">
        <v>12.334</v>
      </c>
      <c r="CP82" s="16">
        <v>1.1499999999999999</v>
      </c>
      <c r="CQ82" s="16">
        <v>14.184100000000001</v>
      </c>
      <c r="CR82" s="16">
        <v>62.575981636000002</v>
      </c>
      <c r="CS82" s="16">
        <v>73.839658330500001</v>
      </c>
    </row>
    <row r="83" spans="1:97" ht="9.75" customHeight="1">
      <c r="A83" s="16" t="s">
        <v>396</v>
      </c>
      <c r="B83" s="16" t="s">
        <v>526</v>
      </c>
      <c r="C83" s="16" t="s">
        <v>119</v>
      </c>
      <c r="D83" s="16" t="s">
        <v>397</v>
      </c>
      <c r="E83" s="16" t="s">
        <v>398</v>
      </c>
      <c r="F83" s="16" t="s">
        <v>103</v>
      </c>
      <c r="G83" s="16" t="s">
        <v>366</v>
      </c>
      <c r="H83" s="16" t="s">
        <v>367</v>
      </c>
      <c r="I83" s="16" t="s">
        <v>1759</v>
      </c>
      <c r="L83" s="16" t="s">
        <v>43</v>
      </c>
      <c r="M83" s="16" t="s">
        <v>1539</v>
      </c>
      <c r="Q83" s="16" t="s">
        <v>1524</v>
      </c>
      <c r="R83" s="16" t="s">
        <v>1650</v>
      </c>
      <c r="S83" s="16">
        <v>4301.4970000000003</v>
      </c>
      <c r="T83" s="16">
        <v>5075.7664599999998</v>
      </c>
      <c r="U83" s="16">
        <v>4926.0569999999998</v>
      </c>
      <c r="V83" s="16">
        <v>5812.7472600000001</v>
      </c>
      <c r="W83" s="16">
        <v>4283.527826087</v>
      </c>
      <c r="X83" s="16">
        <v>5054.5628347825996</v>
      </c>
      <c r="Y83" s="16">
        <v>10.148999999999999</v>
      </c>
      <c r="Z83" s="16">
        <v>1.1499999999999999</v>
      </c>
      <c r="AA83" s="16">
        <v>11.67135</v>
      </c>
      <c r="AB83" s="16">
        <v>49.994552493</v>
      </c>
      <c r="AC83" s="16">
        <v>58.993571941699997</v>
      </c>
      <c r="BA83" s="16">
        <v>4301.4970000000003</v>
      </c>
      <c r="BB83" s="16">
        <v>5075.7664599999998</v>
      </c>
      <c r="BC83" s="16">
        <v>4926.0569999999998</v>
      </c>
      <c r="BD83" s="16">
        <v>5812.7472600000001</v>
      </c>
      <c r="BE83" s="16">
        <v>4283.527826087</v>
      </c>
      <c r="BF83" s="16">
        <v>5054.5628347825996</v>
      </c>
      <c r="BG83" s="16">
        <v>10.148999999999999</v>
      </c>
      <c r="BH83" s="16">
        <v>1.1499999999999999</v>
      </c>
      <c r="BI83" s="16">
        <v>11.67135</v>
      </c>
      <c r="BJ83" s="16">
        <v>49.994552493</v>
      </c>
      <c r="BK83" s="16">
        <v>58.993571941699997</v>
      </c>
      <c r="CI83" s="16">
        <v>4301.97</v>
      </c>
      <c r="CJ83" s="16">
        <v>5076.3245999999999</v>
      </c>
      <c r="CK83" s="16">
        <v>4926.5360000000001</v>
      </c>
      <c r="CL83" s="16">
        <v>5813.3124799999996</v>
      </c>
      <c r="CM83" s="16">
        <v>4283.9443478261001</v>
      </c>
      <c r="CN83" s="16">
        <v>5055.0543304348002</v>
      </c>
      <c r="CO83" s="16">
        <v>8.2959999999999994</v>
      </c>
      <c r="CP83" s="16">
        <v>1.1499999999999999</v>
      </c>
      <c r="CQ83" s="16">
        <v>9.5404</v>
      </c>
      <c r="CR83" s="16">
        <v>40.870542655999998</v>
      </c>
      <c r="CS83" s="16">
        <v>48.227240334100003</v>
      </c>
    </row>
    <row r="84" spans="1:97" ht="9.75" customHeight="1">
      <c r="A84" s="16" t="s">
        <v>399</v>
      </c>
      <c r="B84" s="16" t="s">
        <v>527</v>
      </c>
      <c r="C84" s="16" t="s">
        <v>400</v>
      </c>
      <c r="D84" s="16" t="s">
        <v>400</v>
      </c>
      <c r="E84" s="16" t="s">
        <v>401</v>
      </c>
      <c r="F84" s="16" t="s">
        <v>103</v>
      </c>
      <c r="G84" s="16" t="s">
        <v>366</v>
      </c>
      <c r="H84" s="16" t="s">
        <v>367</v>
      </c>
      <c r="I84" s="16" t="s">
        <v>1759</v>
      </c>
      <c r="L84" s="16" t="s">
        <v>43</v>
      </c>
      <c r="M84" s="16" t="s">
        <v>1539</v>
      </c>
      <c r="Q84" s="16" t="s">
        <v>1524</v>
      </c>
      <c r="R84" s="16" t="s">
        <v>1650</v>
      </c>
      <c r="S84" s="16">
        <v>4342.6970000000001</v>
      </c>
      <c r="T84" s="16">
        <v>5124.3824599999998</v>
      </c>
      <c r="U84" s="16">
        <v>4967.2569999999996</v>
      </c>
      <c r="V84" s="16">
        <v>5861.3632600000001</v>
      </c>
      <c r="W84" s="16">
        <v>4319.3539130435001</v>
      </c>
      <c r="X84" s="16">
        <v>5096.8376173913002</v>
      </c>
      <c r="Y84" s="16">
        <v>13.119</v>
      </c>
      <c r="Z84" s="16">
        <v>1.1499999999999999</v>
      </c>
      <c r="AA84" s="16">
        <v>15.08685</v>
      </c>
      <c r="AB84" s="16">
        <v>65.165444582999996</v>
      </c>
      <c r="AC84" s="16">
        <v>76.895224607900005</v>
      </c>
      <c r="BA84" s="16">
        <v>4342.6970000000001</v>
      </c>
      <c r="BB84" s="16">
        <v>5124.3824599999998</v>
      </c>
      <c r="BC84" s="16">
        <v>4967.2569999999996</v>
      </c>
      <c r="BD84" s="16">
        <v>5861.3632600000001</v>
      </c>
      <c r="BE84" s="16">
        <v>4319.3539130435001</v>
      </c>
      <c r="BF84" s="16">
        <v>5096.8376173913002</v>
      </c>
      <c r="BG84" s="16">
        <v>13.119</v>
      </c>
      <c r="BH84" s="16">
        <v>1.1499999999999999</v>
      </c>
      <c r="BI84" s="16">
        <v>15.08685</v>
      </c>
      <c r="BJ84" s="16">
        <v>65.165444582999996</v>
      </c>
      <c r="BK84" s="16">
        <v>76.895224607900005</v>
      </c>
      <c r="CI84" s="16">
        <v>4448.8880295118997</v>
      </c>
      <c r="CJ84" s="16">
        <v>5249.6878748239997</v>
      </c>
      <c r="CK84" s="16">
        <v>5073.4540295119004</v>
      </c>
      <c r="CL84" s="16">
        <v>5986.6757548240003</v>
      </c>
      <c r="CM84" s="16">
        <v>4411.6991560973001</v>
      </c>
      <c r="CN84" s="16">
        <v>5205.8050041947999</v>
      </c>
      <c r="CO84" s="16">
        <v>11.385</v>
      </c>
      <c r="CP84" s="16">
        <v>1.1499999999999999</v>
      </c>
      <c r="CQ84" s="16">
        <v>13.092750000000001</v>
      </c>
      <c r="CR84" s="16">
        <v>57.761274126000004</v>
      </c>
      <c r="CS84" s="16">
        <v>68.158303468699998</v>
      </c>
    </row>
    <row r="85" spans="1:97" ht="9.75" customHeight="1">
      <c r="A85" s="16" t="s">
        <v>402</v>
      </c>
      <c r="B85" s="16" t="s">
        <v>528</v>
      </c>
      <c r="C85" s="16" t="s">
        <v>55</v>
      </c>
      <c r="D85" s="16" t="s">
        <v>403</v>
      </c>
      <c r="E85" s="16" t="s">
        <v>404</v>
      </c>
      <c r="F85" s="16" t="s">
        <v>103</v>
      </c>
      <c r="G85" s="16" t="s">
        <v>366</v>
      </c>
      <c r="H85" s="16" t="s">
        <v>367</v>
      </c>
      <c r="I85" s="16" t="s">
        <v>1759</v>
      </c>
      <c r="L85" s="16" t="s">
        <v>43</v>
      </c>
      <c r="M85" s="16" t="s">
        <v>1539</v>
      </c>
      <c r="Q85" s="16" t="s">
        <v>1524</v>
      </c>
      <c r="R85" s="16" t="s">
        <v>1650</v>
      </c>
      <c r="S85" s="16">
        <v>4419.268</v>
      </c>
      <c r="T85" s="16">
        <v>5214.7362400000002</v>
      </c>
      <c r="U85" s="16">
        <v>5043.8280000000004</v>
      </c>
      <c r="V85" s="16">
        <v>5951.7170400000005</v>
      </c>
      <c r="W85" s="16">
        <v>4385.9373913044001</v>
      </c>
      <c r="X85" s="16">
        <v>5175.4061217390999</v>
      </c>
      <c r="Y85" s="16">
        <v>208.643</v>
      </c>
      <c r="Z85" s="16">
        <v>1.1499999999999999</v>
      </c>
      <c r="AA85" s="16">
        <v>239.93944999999999</v>
      </c>
      <c r="AB85" s="16">
        <v>1052.359405404</v>
      </c>
      <c r="AC85" s="16">
        <v>1241.7840983767001</v>
      </c>
      <c r="BA85" s="16">
        <v>4419.268</v>
      </c>
      <c r="BB85" s="16">
        <v>5214.7362400000002</v>
      </c>
      <c r="BC85" s="16">
        <v>5043.8280000000004</v>
      </c>
      <c r="BD85" s="16">
        <v>5951.7170400000005</v>
      </c>
      <c r="BE85" s="16">
        <v>4385.9373913044001</v>
      </c>
      <c r="BF85" s="16">
        <v>5175.4061217390999</v>
      </c>
      <c r="BG85" s="16">
        <v>208.643</v>
      </c>
      <c r="BH85" s="16">
        <v>1.1499999999999999</v>
      </c>
      <c r="BI85" s="16">
        <v>239.93944999999999</v>
      </c>
      <c r="BJ85" s="16">
        <v>1052.359405404</v>
      </c>
      <c r="BK85" s="16">
        <v>1241.7840983767001</v>
      </c>
      <c r="CI85" s="16">
        <v>4411.37</v>
      </c>
      <c r="CJ85" s="16">
        <v>5205.4165999999996</v>
      </c>
      <c r="CK85" s="16">
        <v>5034.0533999999998</v>
      </c>
      <c r="CL85" s="16">
        <v>5940.1830120000004</v>
      </c>
      <c r="CM85" s="16">
        <v>4377.4377391303997</v>
      </c>
      <c r="CN85" s="16">
        <v>5165.3765321739002</v>
      </c>
      <c r="CO85" s="16">
        <v>187.82300000000001</v>
      </c>
      <c r="CP85" s="16">
        <v>1.1499999999999999</v>
      </c>
      <c r="CQ85" s="16">
        <v>215.99645000000001</v>
      </c>
      <c r="CR85" s="16">
        <v>945.51101174819996</v>
      </c>
      <c r="CS85" s="16">
        <v>1115.7029938629</v>
      </c>
    </row>
    <row r="86" spans="1:97" ht="9.75" customHeight="1">
      <c r="A86" s="16" t="s">
        <v>405</v>
      </c>
      <c r="B86" s="16" t="s">
        <v>529</v>
      </c>
      <c r="C86" s="16" t="s">
        <v>95</v>
      </c>
      <c r="D86" s="16" t="s">
        <v>95</v>
      </c>
      <c r="E86" s="16" t="s">
        <v>96</v>
      </c>
      <c r="F86" s="16" t="s">
        <v>103</v>
      </c>
      <c r="G86" s="16" t="s">
        <v>366</v>
      </c>
      <c r="H86" s="16" t="s">
        <v>367</v>
      </c>
      <c r="I86" s="16" t="s">
        <v>1759</v>
      </c>
      <c r="L86" s="16" t="s">
        <v>43</v>
      </c>
      <c r="M86" s="16" t="s">
        <v>1539</v>
      </c>
      <c r="Q86" s="16" t="s">
        <v>1524</v>
      </c>
      <c r="R86" s="16" t="s">
        <v>1650</v>
      </c>
      <c r="S86" s="16">
        <v>4372.2749999999996</v>
      </c>
      <c r="T86" s="16">
        <v>5159.2844999999998</v>
      </c>
      <c r="U86" s="16">
        <v>4996.835</v>
      </c>
      <c r="V86" s="16">
        <v>5896.2653</v>
      </c>
      <c r="W86" s="16">
        <v>4345.0739130435004</v>
      </c>
      <c r="X86" s="16">
        <v>5127.1872173912998</v>
      </c>
      <c r="Y86" s="16">
        <v>1317.68</v>
      </c>
      <c r="Z86" s="16">
        <v>1.1499999999999999</v>
      </c>
      <c r="AA86" s="16">
        <v>1515.3320000000001</v>
      </c>
      <c r="AB86" s="16">
        <v>6584.2295427999998</v>
      </c>
      <c r="AC86" s="16">
        <v>7769.3908605039996</v>
      </c>
      <c r="BA86" s="16">
        <v>4404.326</v>
      </c>
      <c r="BB86" s="16">
        <v>5197.1046800000004</v>
      </c>
      <c r="BC86" s="16">
        <v>5028.8860000000004</v>
      </c>
      <c r="BD86" s="16">
        <v>5934.0854799999997</v>
      </c>
      <c r="BE86" s="16">
        <v>4372.9443478261001</v>
      </c>
      <c r="BF86" s="16">
        <v>5160.0743304347998</v>
      </c>
      <c r="BG86" s="16">
        <v>880.52</v>
      </c>
      <c r="BH86" s="16">
        <v>1.1499999999999999</v>
      </c>
      <c r="BI86" s="16">
        <v>1012.598</v>
      </c>
      <c r="BJ86" s="16">
        <v>4428.0347007199998</v>
      </c>
      <c r="BK86" s="16">
        <v>5225.0809468496</v>
      </c>
      <c r="CI86" s="16">
        <v>4414.6499999999996</v>
      </c>
      <c r="CJ86" s="16">
        <v>5209.2870000000003</v>
      </c>
      <c r="CK86" s="16">
        <v>5036.7</v>
      </c>
      <c r="CL86" s="16">
        <v>5943.3059999999996</v>
      </c>
      <c r="CM86" s="16">
        <v>4379.7391304348002</v>
      </c>
      <c r="CN86" s="16">
        <v>5168.0921739129999</v>
      </c>
      <c r="CO86" s="16">
        <v>657.84</v>
      </c>
      <c r="CP86" s="16">
        <v>1.1499999999999999</v>
      </c>
      <c r="CQ86" s="16">
        <v>756.51599999999996</v>
      </c>
      <c r="CR86" s="16">
        <v>3313.3427280000001</v>
      </c>
      <c r="CS86" s="16">
        <v>3909.7444190400001</v>
      </c>
    </row>
    <row r="87" spans="1:97" ht="9.75" customHeight="1">
      <c r="A87" s="16" t="s">
        <v>406</v>
      </c>
      <c r="B87" s="16" t="s">
        <v>530</v>
      </c>
      <c r="C87" s="16" t="s">
        <v>85</v>
      </c>
      <c r="D87" s="16" t="s">
        <v>85</v>
      </c>
      <c r="E87" s="16" t="s">
        <v>86</v>
      </c>
      <c r="F87" s="16" t="s">
        <v>407</v>
      </c>
      <c r="G87" s="16" t="s">
        <v>88</v>
      </c>
      <c r="H87" s="16" t="s">
        <v>408</v>
      </c>
      <c r="I87" s="16" t="s">
        <v>1758</v>
      </c>
      <c r="K87" s="16" t="s">
        <v>409</v>
      </c>
      <c r="L87" s="16" t="s">
        <v>43</v>
      </c>
      <c r="M87" s="16" t="s">
        <v>1539</v>
      </c>
      <c r="Q87" s="16" t="s">
        <v>1524</v>
      </c>
      <c r="R87" s="16" t="s">
        <v>1650</v>
      </c>
      <c r="S87" s="16">
        <v>4439.17</v>
      </c>
      <c r="T87" s="16">
        <v>5238.2205999999996</v>
      </c>
      <c r="U87" s="16">
        <v>5083.42</v>
      </c>
      <c r="V87" s="16">
        <v>5998.4355999999998</v>
      </c>
      <c r="W87" s="16">
        <v>4341.4638312408997</v>
      </c>
      <c r="X87" s="16">
        <v>5122.9273208642999</v>
      </c>
      <c r="Y87" s="16">
        <v>627.60900000000004</v>
      </c>
      <c r="Z87" s="16">
        <v>1.1709000000000001</v>
      </c>
      <c r="AA87" s="16">
        <v>734.8673781</v>
      </c>
      <c r="AB87" s="16">
        <v>3190.4001427799999</v>
      </c>
      <c r="AC87" s="16">
        <v>3764.6721684804002</v>
      </c>
      <c r="BA87" s="16">
        <v>4436.21</v>
      </c>
      <c r="BB87" s="16">
        <v>5234.7277999999997</v>
      </c>
      <c r="BC87" s="16">
        <v>5081.2299999999996</v>
      </c>
      <c r="BD87" s="16">
        <v>5995.8513999999996</v>
      </c>
      <c r="BE87" s="16">
        <v>4340.705621049</v>
      </c>
      <c r="BF87" s="16">
        <v>5122.0326328378997</v>
      </c>
      <c r="BG87" s="16">
        <v>543.91899999999998</v>
      </c>
      <c r="BH87" s="16">
        <v>1.1706000000000001</v>
      </c>
      <c r="BI87" s="16">
        <v>636.7115814</v>
      </c>
      <c r="BJ87" s="16">
        <v>2763.7775403700002</v>
      </c>
      <c r="BK87" s="16">
        <v>3261.2574976366</v>
      </c>
      <c r="CI87" s="16">
        <v>4415.6499999999996</v>
      </c>
      <c r="CJ87" s="16">
        <v>5210.4669999999996</v>
      </c>
      <c r="CK87" s="16">
        <v>5060.66</v>
      </c>
      <c r="CL87" s="16">
        <v>5971.5788000000002</v>
      </c>
      <c r="CM87" s="16">
        <v>4335.5630870666</v>
      </c>
      <c r="CN87" s="16">
        <v>5115.9644427386002</v>
      </c>
      <c r="CO87" s="16">
        <v>402.82900000000001</v>
      </c>
      <c r="CP87" s="16">
        <v>1.1672439999999999</v>
      </c>
      <c r="CQ87" s="16">
        <v>470.19973327600002</v>
      </c>
      <c r="CR87" s="16">
        <v>2038.58060714</v>
      </c>
      <c r="CS87" s="16">
        <v>2405.5251164251999</v>
      </c>
    </row>
    <row r="88" spans="1:97" ht="9.75" customHeight="1">
      <c r="A88" s="16" t="s">
        <v>410</v>
      </c>
      <c r="B88" s="16" t="s">
        <v>531</v>
      </c>
      <c r="C88" s="16" t="s">
        <v>62</v>
      </c>
      <c r="D88" s="16" t="s">
        <v>376</v>
      </c>
      <c r="E88" s="16" t="s">
        <v>377</v>
      </c>
      <c r="F88" s="16" t="s">
        <v>411</v>
      </c>
      <c r="G88" s="16" t="s">
        <v>66</v>
      </c>
      <c r="H88" s="16" t="s">
        <v>412</v>
      </c>
      <c r="I88" s="16" t="s">
        <v>1758</v>
      </c>
      <c r="K88" s="16" t="s">
        <v>413</v>
      </c>
      <c r="L88" s="16" t="s">
        <v>110</v>
      </c>
      <c r="M88" s="16" t="s">
        <v>1539</v>
      </c>
      <c r="Q88" s="16" t="s">
        <v>1524</v>
      </c>
      <c r="R88" s="16" t="s">
        <v>1650</v>
      </c>
      <c r="S88" s="16">
        <v>4698.6099999999997</v>
      </c>
      <c r="T88" s="16">
        <v>5544.3598000000002</v>
      </c>
      <c r="U88" s="16">
        <v>5457.89</v>
      </c>
      <c r="V88" s="16">
        <v>6440.3101999999999</v>
      </c>
      <c r="W88" s="16">
        <v>4745.9913043478</v>
      </c>
      <c r="X88" s="16">
        <v>5600.2697391304</v>
      </c>
      <c r="Y88" s="16">
        <v>34.479999999999997</v>
      </c>
      <c r="Z88" s="16">
        <v>1.1499999999999999</v>
      </c>
      <c r="AA88" s="16">
        <v>39.652000000000001</v>
      </c>
      <c r="AB88" s="16">
        <v>188.1880472</v>
      </c>
      <c r="AC88" s="16">
        <v>222.06189569599999</v>
      </c>
      <c r="BA88" s="16">
        <v>4698.6099999999997</v>
      </c>
      <c r="BB88" s="16">
        <v>5544.3598000000002</v>
      </c>
      <c r="BC88" s="16">
        <v>5457.89</v>
      </c>
      <c r="BD88" s="16">
        <v>6440.3101999999999</v>
      </c>
      <c r="BE88" s="16">
        <v>4745.9913043478</v>
      </c>
      <c r="BF88" s="16">
        <v>5600.2697391304</v>
      </c>
      <c r="BG88" s="16">
        <v>34.479999999999997</v>
      </c>
      <c r="BH88" s="16">
        <v>1.1499999999999999</v>
      </c>
      <c r="BI88" s="16">
        <v>39.652000000000001</v>
      </c>
      <c r="BJ88" s="16">
        <v>188.1880472</v>
      </c>
      <c r="BK88" s="16">
        <v>222.06189569599999</v>
      </c>
      <c r="CI88" s="16">
        <v>4698.6049999999996</v>
      </c>
      <c r="CJ88" s="16">
        <v>5544.3539000000001</v>
      </c>
      <c r="CK88" s="16">
        <v>5457.8860000000004</v>
      </c>
      <c r="CL88" s="16">
        <v>6440.30548</v>
      </c>
      <c r="CM88" s="16">
        <v>4745.987826087</v>
      </c>
      <c r="CN88" s="16">
        <v>5600.2656347825996</v>
      </c>
      <c r="CO88" s="16">
        <v>34.478000000000002</v>
      </c>
      <c r="CP88" s="16">
        <v>1.1499999999999999</v>
      </c>
      <c r="CQ88" s="16">
        <v>39.649700000000003</v>
      </c>
      <c r="CR88" s="16">
        <v>188.17699350800001</v>
      </c>
      <c r="CS88" s="16">
        <v>222.04885233940001</v>
      </c>
    </row>
    <row r="89" spans="1:97" ht="9.75" customHeight="1">
      <c r="A89" s="16" t="s">
        <v>414</v>
      </c>
      <c r="B89" s="16" t="s">
        <v>532</v>
      </c>
      <c r="C89" s="16" t="s">
        <v>46</v>
      </c>
      <c r="D89" s="16" t="s">
        <v>126</v>
      </c>
      <c r="E89" s="16" t="s">
        <v>127</v>
      </c>
      <c r="F89" s="16" t="s">
        <v>415</v>
      </c>
      <c r="G89" s="16" t="s">
        <v>193</v>
      </c>
      <c r="H89" s="16" t="s">
        <v>416</v>
      </c>
      <c r="I89" s="16" t="s">
        <v>1758</v>
      </c>
      <c r="K89" s="16" t="s">
        <v>417</v>
      </c>
      <c r="L89" s="16" t="s">
        <v>204</v>
      </c>
      <c r="M89" s="16" t="s">
        <v>1539</v>
      </c>
      <c r="Q89" s="16" t="s">
        <v>1524</v>
      </c>
      <c r="R89" s="16" t="s">
        <v>1650</v>
      </c>
      <c r="S89" s="16">
        <v>4269.1519144026997</v>
      </c>
      <c r="T89" s="16">
        <v>5037.5992589952002</v>
      </c>
      <c r="U89" s="16">
        <v>4740.6257628303001</v>
      </c>
      <c r="V89" s="16">
        <v>5593.9384001398003</v>
      </c>
      <c r="W89" s="16">
        <v>4128.1609693544997</v>
      </c>
      <c r="X89" s="16">
        <v>4871.2299438382997</v>
      </c>
      <c r="Y89" s="16">
        <v>12312.535</v>
      </c>
      <c r="Z89" s="16">
        <v>1.1483626239</v>
      </c>
      <c r="AA89" s="16">
        <v>14139.254999999999</v>
      </c>
      <c r="AB89" s="16">
        <v>58369.120626750002</v>
      </c>
      <c r="AC89" s="16">
        <v>68875.562339565004</v>
      </c>
      <c r="BA89" s="16">
        <v>4340.8765000000003</v>
      </c>
      <c r="BB89" s="16">
        <v>5122.2342699999999</v>
      </c>
      <c r="BC89" s="16">
        <v>4815.0865000000003</v>
      </c>
      <c r="BD89" s="16">
        <v>5681.8020699999997</v>
      </c>
      <c r="BE89" s="16">
        <v>4192.8652908393997</v>
      </c>
      <c r="BF89" s="16">
        <v>4947.5810431905002</v>
      </c>
      <c r="BG89" s="16">
        <v>4095.7150000000001</v>
      </c>
      <c r="BH89" s="16">
        <v>1.1484000000000001</v>
      </c>
      <c r="BI89" s="16">
        <v>4703.5191059999997</v>
      </c>
      <c r="BJ89" s="16">
        <v>19721.222004347499</v>
      </c>
      <c r="BK89" s="16">
        <v>23271.041965130102</v>
      </c>
      <c r="CI89" s="16">
        <v>4369.47</v>
      </c>
      <c r="CJ89" s="16">
        <v>5155.9745999999996</v>
      </c>
      <c r="CK89" s="16">
        <v>4843.68</v>
      </c>
      <c r="CL89" s="16">
        <v>5715.5424000000003</v>
      </c>
      <c r="CM89" s="16">
        <v>4211.8956521739001</v>
      </c>
      <c r="CN89" s="16">
        <v>4970.0368695651996</v>
      </c>
      <c r="CO89" s="16">
        <v>1420</v>
      </c>
      <c r="CP89" s="16">
        <v>1.1499999999999999</v>
      </c>
      <c r="CQ89" s="16">
        <v>1633</v>
      </c>
      <c r="CR89" s="16">
        <v>6878.0255999999999</v>
      </c>
      <c r="CS89" s="16">
        <v>8116.0702080000001</v>
      </c>
    </row>
    <row r="90" spans="1:97" ht="9.75" customHeight="1">
      <c r="A90" s="16" t="s">
        <v>414</v>
      </c>
      <c r="B90" s="16" t="s">
        <v>533</v>
      </c>
      <c r="C90" s="16" t="s">
        <v>46</v>
      </c>
      <c r="D90" s="16" t="s">
        <v>126</v>
      </c>
      <c r="E90" s="16" t="s">
        <v>127</v>
      </c>
      <c r="F90" s="16" t="s">
        <v>415</v>
      </c>
      <c r="G90" s="16" t="s">
        <v>193</v>
      </c>
      <c r="H90" s="16" t="s">
        <v>416</v>
      </c>
      <c r="I90" s="16" t="s">
        <v>1758</v>
      </c>
      <c r="K90" s="16" t="s">
        <v>417</v>
      </c>
      <c r="L90" s="16" t="s">
        <v>204</v>
      </c>
      <c r="M90" s="16" t="s">
        <v>1539</v>
      </c>
      <c r="Q90" s="16" t="s">
        <v>1524</v>
      </c>
      <c r="R90" s="16" t="s">
        <v>1651</v>
      </c>
      <c r="S90" s="16">
        <v>4539.74</v>
      </c>
      <c r="T90" s="16">
        <v>5356.8932000000004</v>
      </c>
      <c r="U90" s="16">
        <v>5009.8500000000004</v>
      </c>
      <c r="V90" s="16">
        <v>5911.6229999999996</v>
      </c>
      <c r="W90" s="16">
        <v>4363.3666386059003</v>
      </c>
      <c r="X90" s="16">
        <v>5148.7726335549996</v>
      </c>
      <c r="Y90" s="16">
        <v>1019.09</v>
      </c>
      <c r="Z90" s="16">
        <v>1.1481615950999999</v>
      </c>
      <c r="AA90" s="16">
        <v>1170.08</v>
      </c>
      <c r="AB90" s="16">
        <v>5105.4880364999999</v>
      </c>
      <c r="AC90" s="16">
        <v>6024.4758830700002</v>
      </c>
    </row>
    <row r="91" spans="1:97" ht="9.75" customHeight="1">
      <c r="A91" s="16" t="s">
        <v>418</v>
      </c>
      <c r="B91" s="16" t="s">
        <v>534</v>
      </c>
      <c r="C91" s="16" t="s">
        <v>111</v>
      </c>
      <c r="D91" s="16" t="s">
        <v>111</v>
      </c>
      <c r="E91" s="16" t="s">
        <v>112</v>
      </c>
      <c r="F91" s="16" t="s">
        <v>419</v>
      </c>
      <c r="G91" s="16" t="s">
        <v>58</v>
      </c>
      <c r="H91" s="16" t="s">
        <v>420</v>
      </c>
      <c r="I91" s="16" t="s">
        <v>1758</v>
      </c>
      <c r="K91" s="16" t="s">
        <v>421</v>
      </c>
      <c r="L91" s="16" t="s">
        <v>43</v>
      </c>
      <c r="M91" s="16" t="s">
        <v>1539</v>
      </c>
      <c r="P91" s="16" t="s">
        <v>422</v>
      </c>
      <c r="Q91" s="16" t="s">
        <v>1524</v>
      </c>
      <c r="R91" s="16" t="s">
        <v>1650</v>
      </c>
      <c r="S91" s="16">
        <v>4427.73686</v>
      </c>
      <c r="T91" s="16">
        <v>5224.7294947999999</v>
      </c>
      <c r="U91" s="16">
        <v>4964.1689999999999</v>
      </c>
      <c r="V91" s="16">
        <v>5857.7194200000004</v>
      </c>
      <c r="W91" s="16">
        <v>4252.6096033403001</v>
      </c>
      <c r="X91" s="16">
        <v>5018.0793319414997</v>
      </c>
      <c r="Y91" s="16">
        <v>12674.52</v>
      </c>
      <c r="Z91" s="16">
        <v>1.1673230000000001</v>
      </c>
      <c r="AA91" s="16">
        <v>14795.25870996</v>
      </c>
      <c r="AB91" s="16">
        <v>62918.459273879998</v>
      </c>
      <c r="AC91" s="16">
        <v>74243.781943178401</v>
      </c>
      <c r="BA91" s="16">
        <v>4424.8710000000001</v>
      </c>
      <c r="BB91" s="16">
        <v>5221.3477800000001</v>
      </c>
      <c r="BC91" s="16">
        <v>4959.2149760000002</v>
      </c>
      <c r="BD91" s="16">
        <v>5851.8736716800004</v>
      </c>
      <c r="BE91" s="16">
        <v>4251.0590978749997</v>
      </c>
      <c r="BF91" s="16">
        <v>5016.2497354925999</v>
      </c>
      <c r="BG91" s="16">
        <v>11774</v>
      </c>
      <c r="BH91" s="16">
        <v>1.1665833999999999</v>
      </c>
      <c r="BI91" s="16">
        <v>13735.3529516</v>
      </c>
      <c r="BJ91" s="16">
        <v>58389.797127423997</v>
      </c>
      <c r="BK91" s="16">
        <v>68899.9606103603</v>
      </c>
      <c r="CI91" s="16">
        <v>4409.78</v>
      </c>
      <c r="CJ91" s="16">
        <v>5203.5403999999999</v>
      </c>
      <c r="CK91" s="16">
        <v>4944.2668999999996</v>
      </c>
      <c r="CL91" s="16">
        <v>5834.234942</v>
      </c>
      <c r="CM91" s="16">
        <v>4253.0622072253</v>
      </c>
      <c r="CN91" s="16">
        <v>5018.6134045258004</v>
      </c>
      <c r="CO91" s="16">
        <v>9915</v>
      </c>
      <c r="CP91" s="16">
        <v>1.1625193</v>
      </c>
      <c r="CQ91" s="16">
        <v>11526.378859500001</v>
      </c>
      <c r="CR91" s="16">
        <v>49022.406313500003</v>
      </c>
      <c r="CS91" s="16">
        <v>57846.439449930003</v>
      </c>
    </row>
    <row r="92" spans="1:97" ht="9.75" customHeight="1">
      <c r="A92" s="16" t="s">
        <v>423</v>
      </c>
      <c r="B92" s="16" t="s">
        <v>535</v>
      </c>
      <c r="C92" s="16" t="s">
        <v>95</v>
      </c>
      <c r="D92" s="16" t="s">
        <v>95</v>
      </c>
      <c r="E92" s="16" t="s">
        <v>96</v>
      </c>
      <c r="F92" s="16" t="s">
        <v>424</v>
      </c>
      <c r="G92" s="16" t="s">
        <v>425</v>
      </c>
      <c r="H92" s="16" t="s">
        <v>426</v>
      </c>
      <c r="I92" s="16" t="s">
        <v>1758</v>
      </c>
      <c r="K92" s="16" t="s">
        <v>427</v>
      </c>
      <c r="L92" s="16" t="s">
        <v>43</v>
      </c>
      <c r="M92" s="16" t="s">
        <v>1539</v>
      </c>
      <c r="Q92" s="16" t="s">
        <v>1524</v>
      </c>
      <c r="R92" s="16" t="s">
        <v>1650</v>
      </c>
      <c r="S92" s="16">
        <v>4433.6127999999999</v>
      </c>
      <c r="T92" s="16">
        <v>5231.6631040000002</v>
      </c>
      <c r="U92" s="16">
        <v>4942.4383900000003</v>
      </c>
      <c r="V92" s="16">
        <v>5832.0773001999996</v>
      </c>
      <c r="W92" s="16">
        <v>4205.7623903872</v>
      </c>
      <c r="X92" s="16">
        <v>4962.7996206568996</v>
      </c>
      <c r="Y92" s="16">
        <v>29510.468000000001</v>
      </c>
      <c r="Z92" s="16">
        <v>1.1751587301999999</v>
      </c>
      <c r="AA92" s="16">
        <v>34679.484101012204</v>
      </c>
      <c r="AB92" s="16">
        <v>145853.66995006701</v>
      </c>
      <c r="AC92" s="16">
        <v>172107.330541078</v>
      </c>
      <c r="BA92" s="16">
        <v>4430.7424312000003</v>
      </c>
      <c r="BB92" s="16">
        <v>5228.2760688159997</v>
      </c>
      <c r="BC92" s="16">
        <v>4937.79295869</v>
      </c>
      <c r="BD92" s="16">
        <v>5826.5956912541997</v>
      </c>
      <c r="BE92" s="16">
        <v>4203.5694904872998</v>
      </c>
      <c r="BF92" s="16">
        <v>4960.2119987750002</v>
      </c>
      <c r="BG92" s="16">
        <v>25411.432000000001</v>
      </c>
      <c r="BH92" s="16">
        <v>1.174666666</v>
      </c>
      <c r="BI92" s="16">
        <v>29849.962105725699</v>
      </c>
      <c r="BJ92" s="16">
        <v>125476.38999983</v>
      </c>
      <c r="BK92" s="16">
        <v>148062.140199799</v>
      </c>
      <c r="CI92" s="16">
        <v>4409.1764999999996</v>
      </c>
      <c r="CJ92" s="16">
        <v>5202.82827</v>
      </c>
      <c r="CK92" s="16">
        <v>4916.6760000000004</v>
      </c>
      <c r="CL92" s="16">
        <v>5801.6776799999998</v>
      </c>
      <c r="CM92" s="16">
        <v>4220.6677840175998</v>
      </c>
      <c r="CN92" s="16">
        <v>4980.3879851408001</v>
      </c>
      <c r="CO92" s="16">
        <v>18502.671999999999</v>
      </c>
      <c r="CP92" s="16">
        <v>1.1649047618999999</v>
      </c>
      <c r="CQ92" s="16">
        <v>21553.8507206738</v>
      </c>
      <c r="CR92" s="16">
        <v>90971.643358272006</v>
      </c>
      <c r="CS92" s="16">
        <v>107346.53916276099</v>
      </c>
    </row>
    <row r="93" spans="1:97" ht="9.75" customHeight="1">
      <c r="A93" s="16" t="s">
        <v>428</v>
      </c>
      <c r="B93" s="16" t="s">
        <v>536</v>
      </c>
      <c r="C93" s="16" t="s">
        <v>136</v>
      </c>
      <c r="D93" s="16" t="s">
        <v>136</v>
      </c>
      <c r="E93" s="16" t="s">
        <v>137</v>
      </c>
      <c r="F93" s="16" t="s">
        <v>429</v>
      </c>
      <c r="G93" s="16" t="s">
        <v>139</v>
      </c>
      <c r="H93" s="16" t="s">
        <v>430</v>
      </c>
      <c r="I93" s="16" t="s">
        <v>1758</v>
      </c>
      <c r="K93" s="16" t="s">
        <v>431</v>
      </c>
      <c r="L93" s="16" t="s">
        <v>43</v>
      </c>
      <c r="M93" s="16" t="s">
        <v>1539</v>
      </c>
      <c r="P93" s="16" t="s">
        <v>432</v>
      </c>
      <c r="Q93" s="16" t="s">
        <v>1524</v>
      </c>
      <c r="R93" s="16" t="s">
        <v>1650</v>
      </c>
      <c r="S93" s="16">
        <v>4445.76</v>
      </c>
      <c r="T93" s="16">
        <v>5245.9967999999999</v>
      </c>
      <c r="U93" s="16">
        <v>5092.6670000000004</v>
      </c>
      <c r="V93" s="16">
        <v>6009.3470600000001</v>
      </c>
      <c r="W93" s="16">
        <v>4360.7948074633996</v>
      </c>
      <c r="X93" s="16">
        <v>5145.7378728067997</v>
      </c>
      <c r="Y93" s="16">
        <v>2309.6959999999999</v>
      </c>
      <c r="Z93" s="16">
        <v>1.1678299999999999</v>
      </c>
      <c r="AA93" s="16">
        <v>2697.3322796799998</v>
      </c>
      <c r="AB93" s="16">
        <v>11762.512599232001</v>
      </c>
      <c r="AC93" s="16">
        <v>13879.7648670938</v>
      </c>
      <c r="BA93" s="16">
        <v>4439.76</v>
      </c>
      <c r="BB93" s="16">
        <v>5238.9168</v>
      </c>
      <c r="BC93" s="16">
        <v>5087.09</v>
      </c>
      <c r="BD93" s="16">
        <v>6002.7662</v>
      </c>
      <c r="BE93" s="16">
        <v>4359.8645869044003</v>
      </c>
      <c r="BF93" s="16">
        <v>5144.6402125471004</v>
      </c>
      <c r="BG93" s="16">
        <v>2161.913</v>
      </c>
      <c r="BH93" s="16">
        <v>1.1668000000000001</v>
      </c>
      <c r="BI93" s="16">
        <v>2522.5200884000001</v>
      </c>
      <c r="BJ93" s="16">
        <v>10997.84600317</v>
      </c>
      <c r="BK93" s="16">
        <v>12977.4582837406</v>
      </c>
      <c r="CI93" s="16">
        <v>4427.6400000000003</v>
      </c>
      <c r="CJ93" s="16">
        <v>5224.6152000000002</v>
      </c>
      <c r="CK93" s="16">
        <v>5075.1419999999998</v>
      </c>
      <c r="CL93" s="16">
        <v>5988.6675599999999</v>
      </c>
      <c r="CM93" s="16">
        <v>4356.3450643776996</v>
      </c>
      <c r="CN93" s="16">
        <v>5140.4871759656999</v>
      </c>
      <c r="CO93" s="16">
        <v>1833.221</v>
      </c>
      <c r="CP93" s="16">
        <v>1.165</v>
      </c>
      <c r="CQ93" s="16">
        <v>2135.7024649999998</v>
      </c>
      <c r="CR93" s="16">
        <v>9303.8568923820003</v>
      </c>
      <c r="CS93" s="16">
        <v>10978.5511330108</v>
      </c>
    </row>
    <row r="94" spans="1:97" ht="9.75" customHeight="1">
      <c r="A94" s="16" t="s">
        <v>433</v>
      </c>
      <c r="B94" s="16" t="s">
        <v>537</v>
      </c>
      <c r="C94" s="16" t="s">
        <v>70</v>
      </c>
      <c r="D94" s="16" t="s">
        <v>70</v>
      </c>
      <c r="E94" s="16" t="s">
        <v>71</v>
      </c>
      <c r="F94" s="16" t="s">
        <v>434</v>
      </c>
      <c r="G94" s="16" t="s">
        <v>435</v>
      </c>
      <c r="H94" s="16" t="s">
        <v>436</v>
      </c>
      <c r="I94" s="16" t="s">
        <v>1758</v>
      </c>
      <c r="J94" s="16" t="s">
        <v>437</v>
      </c>
      <c r="K94" s="16" t="s">
        <v>134</v>
      </c>
      <c r="L94" s="16" t="s">
        <v>43</v>
      </c>
      <c r="M94" s="16" t="s">
        <v>1539</v>
      </c>
      <c r="Q94" s="16" t="s">
        <v>1524</v>
      </c>
      <c r="R94" s="16" t="s">
        <v>1650</v>
      </c>
      <c r="S94" s="16">
        <v>4501.25</v>
      </c>
      <c r="T94" s="16">
        <v>5311.4750000000004</v>
      </c>
      <c r="U94" s="16">
        <v>5079.22</v>
      </c>
      <c r="V94" s="16">
        <v>5993.4795999999997</v>
      </c>
      <c r="W94" s="16">
        <v>4416.7130434783003</v>
      </c>
      <c r="X94" s="16">
        <v>5211.7213913043997</v>
      </c>
      <c r="Y94" s="16">
        <v>1437.85</v>
      </c>
      <c r="Z94" s="16">
        <v>1.1499999999999999</v>
      </c>
      <c r="AA94" s="16">
        <v>1653.5274999999999</v>
      </c>
      <c r="AB94" s="16">
        <v>7303.1564770000005</v>
      </c>
      <c r="AC94" s="16">
        <v>8617.7246428599992</v>
      </c>
      <c r="BA94" s="16">
        <v>4500.8481807054004</v>
      </c>
      <c r="BB94" s="16">
        <v>5311.0008532324</v>
      </c>
      <c r="BC94" s="16">
        <v>5068.1318915375005</v>
      </c>
      <c r="BD94" s="16">
        <v>5980.3956320142997</v>
      </c>
      <c r="BE94" s="16">
        <v>4407.0712100326</v>
      </c>
      <c r="BF94" s="16">
        <v>5200.3440278384996</v>
      </c>
      <c r="BG94" s="16">
        <v>1222.5540000000001</v>
      </c>
      <c r="BH94" s="16">
        <v>1.1499999999999999</v>
      </c>
      <c r="BI94" s="16">
        <v>1405.9371000000001</v>
      </c>
      <c r="BJ94" s="16">
        <v>6196.0649165266996</v>
      </c>
      <c r="BK94" s="16">
        <v>7311.3566015016004</v>
      </c>
      <c r="CI94" s="16">
        <v>4281.8879386467997</v>
      </c>
      <c r="CJ94" s="16">
        <v>5052.6277676031996</v>
      </c>
      <c r="CK94" s="16">
        <v>5060.5596752410001</v>
      </c>
      <c r="CL94" s="16">
        <v>5971.4604167844</v>
      </c>
      <c r="CM94" s="16">
        <v>4400.4866741225997</v>
      </c>
      <c r="CN94" s="16">
        <v>5192.5742754646999</v>
      </c>
      <c r="CO94" s="16">
        <v>876.51400000000001</v>
      </c>
      <c r="CP94" s="16">
        <v>1.1499999999999999</v>
      </c>
      <c r="CQ94" s="16">
        <v>1007.9911</v>
      </c>
      <c r="CR94" s="16">
        <v>4435.6514031841998</v>
      </c>
      <c r="CS94" s="16">
        <v>5234.0686557572999</v>
      </c>
    </row>
  </sheetData>
  <sheetProtection formatColumns="0" formatRows="0"/>
  <phoneticPr fontId="8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REESTR_MO">
    <tabColor indexed="47"/>
  </sheetPr>
  <dimension ref="A1:E331"/>
  <sheetViews>
    <sheetView workbookViewId="0"/>
  </sheetViews>
  <sheetFormatPr defaultRowHeight="11.25"/>
  <cols>
    <col min="1" max="16384" width="9.140625" style="2"/>
  </cols>
  <sheetData>
    <row r="1" spans="1:5">
      <c r="A1" s="2" t="s">
        <v>627</v>
      </c>
      <c r="B1" s="2" t="s">
        <v>628</v>
      </c>
      <c r="C1" s="2" t="s">
        <v>1244</v>
      </c>
      <c r="D1" s="2" t="s">
        <v>627</v>
      </c>
      <c r="E1" s="2" t="s">
        <v>1245</v>
      </c>
    </row>
    <row r="2" spans="1:5">
      <c r="A2" s="2" t="s">
        <v>37</v>
      </c>
      <c r="B2" s="2" t="s">
        <v>37</v>
      </c>
      <c r="C2" s="2" t="s">
        <v>38</v>
      </c>
      <c r="D2" s="2" t="s">
        <v>37</v>
      </c>
      <c r="E2" s="2" t="s">
        <v>1210</v>
      </c>
    </row>
    <row r="3" spans="1:5">
      <c r="A3" s="2" t="s">
        <v>37</v>
      </c>
      <c r="B3" s="2" t="s">
        <v>394</v>
      </c>
      <c r="C3" s="2" t="s">
        <v>395</v>
      </c>
      <c r="D3" s="2" t="s">
        <v>329</v>
      </c>
      <c r="E3" s="2" t="s">
        <v>1211</v>
      </c>
    </row>
    <row r="4" spans="1:5">
      <c r="A4" s="2" t="s">
        <v>37</v>
      </c>
      <c r="B4" s="2" t="s">
        <v>641</v>
      </c>
      <c r="C4" s="2" t="s">
        <v>642</v>
      </c>
      <c r="D4" s="2" t="s">
        <v>177</v>
      </c>
      <c r="E4" s="2" t="s">
        <v>1212</v>
      </c>
    </row>
    <row r="5" spans="1:5">
      <c r="A5" s="2" t="s">
        <v>37</v>
      </c>
      <c r="B5" s="2" t="s">
        <v>643</v>
      </c>
      <c r="C5" s="2" t="s">
        <v>644</v>
      </c>
      <c r="D5" s="2" t="s">
        <v>119</v>
      </c>
      <c r="E5" s="2" t="s">
        <v>1213</v>
      </c>
    </row>
    <row r="6" spans="1:5">
      <c r="A6" s="2" t="s">
        <v>37</v>
      </c>
      <c r="B6" s="2" t="s">
        <v>645</v>
      </c>
      <c r="C6" s="2" t="s">
        <v>646</v>
      </c>
      <c r="D6" s="2" t="s">
        <v>389</v>
      </c>
      <c r="E6" s="2" t="s">
        <v>1214</v>
      </c>
    </row>
    <row r="7" spans="1:5">
      <c r="A7" s="2" t="s">
        <v>37</v>
      </c>
      <c r="B7" s="2" t="s">
        <v>647</v>
      </c>
      <c r="C7" s="2" t="s">
        <v>648</v>
      </c>
      <c r="D7" s="2" t="s">
        <v>558</v>
      </c>
      <c r="E7" s="2" t="s">
        <v>1215</v>
      </c>
    </row>
    <row r="8" spans="1:5">
      <c r="A8" s="2" t="s">
        <v>37</v>
      </c>
      <c r="B8" s="2" t="s">
        <v>649</v>
      </c>
      <c r="C8" s="2" t="s">
        <v>650</v>
      </c>
      <c r="D8" s="2" t="s">
        <v>55</v>
      </c>
      <c r="E8" s="2" t="s">
        <v>1216</v>
      </c>
    </row>
    <row r="9" spans="1:5">
      <c r="A9" s="2" t="s">
        <v>37</v>
      </c>
      <c r="B9" s="2" t="s">
        <v>651</v>
      </c>
      <c r="C9" s="2" t="s">
        <v>652</v>
      </c>
      <c r="D9" s="2" t="s">
        <v>111</v>
      </c>
      <c r="E9" s="2" t="s">
        <v>1217</v>
      </c>
    </row>
    <row r="10" spans="1:5">
      <c r="A10" s="2" t="s">
        <v>37</v>
      </c>
      <c r="B10" s="2" t="s">
        <v>653</v>
      </c>
      <c r="C10" s="2" t="s">
        <v>654</v>
      </c>
      <c r="D10" s="2" t="s">
        <v>197</v>
      </c>
      <c r="E10" s="2" t="s">
        <v>1218</v>
      </c>
    </row>
    <row r="11" spans="1:5">
      <c r="A11" s="2" t="s">
        <v>329</v>
      </c>
      <c r="B11" s="2" t="s">
        <v>329</v>
      </c>
      <c r="C11" s="2" t="s">
        <v>655</v>
      </c>
      <c r="D11" s="2" t="s">
        <v>136</v>
      </c>
      <c r="E11" s="2" t="s">
        <v>1219</v>
      </c>
    </row>
    <row r="12" spans="1:5">
      <c r="A12" s="2" t="s">
        <v>329</v>
      </c>
      <c r="B12" s="2" t="s">
        <v>656</v>
      </c>
      <c r="C12" s="2" t="s">
        <v>657</v>
      </c>
      <c r="D12" s="2" t="s">
        <v>70</v>
      </c>
      <c r="E12" s="2" t="s">
        <v>1220</v>
      </c>
    </row>
    <row r="13" spans="1:5">
      <c r="A13" s="2" t="s">
        <v>329</v>
      </c>
      <c r="B13" s="2" t="s">
        <v>658</v>
      </c>
      <c r="C13" s="2" t="s">
        <v>659</v>
      </c>
      <c r="D13" s="2" t="s">
        <v>271</v>
      </c>
      <c r="E13" s="2" t="s">
        <v>1221</v>
      </c>
    </row>
    <row r="14" spans="1:5">
      <c r="A14" s="2" t="s">
        <v>329</v>
      </c>
      <c r="B14" s="2" t="s">
        <v>660</v>
      </c>
      <c r="C14" s="2" t="s">
        <v>661</v>
      </c>
      <c r="D14" s="2" t="s">
        <v>163</v>
      </c>
      <c r="E14" s="2" t="s">
        <v>1222</v>
      </c>
    </row>
    <row r="15" spans="1:5">
      <c r="A15" s="2" t="s">
        <v>329</v>
      </c>
      <c r="B15" s="2" t="s">
        <v>662</v>
      </c>
      <c r="C15" s="2" t="s">
        <v>663</v>
      </c>
      <c r="D15" s="2" t="s">
        <v>95</v>
      </c>
      <c r="E15" s="2" t="s">
        <v>1223</v>
      </c>
    </row>
    <row r="16" spans="1:5">
      <c r="A16" s="2" t="s">
        <v>329</v>
      </c>
      <c r="B16" s="2" t="s">
        <v>664</v>
      </c>
      <c r="C16" s="2" t="s">
        <v>665</v>
      </c>
      <c r="D16" s="2" t="s">
        <v>85</v>
      </c>
      <c r="E16" s="2" t="s">
        <v>1224</v>
      </c>
    </row>
    <row r="17" spans="1:5">
      <c r="A17" s="2" t="s">
        <v>329</v>
      </c>
      <c r="B17" s="2" t="s">
        <v>666</v>
      </c>
      <c r="C17" s="2" t="s">
        <v>667</v>
      </c>
      <c r="D17" s="2" t="s">
        <v>210</v>
      </c>
      <c r="E17" s="2" t="s">
        <v>1225</v>
      </c>
    </row>
    <row r="18" spans="1:5">
      <c r="A18" s="2" t="s">
        <v>329</v>
      </c>
      <c r="B18" s="2" t="s">
        <v>668</v>
      </c>
      <c r="C18" s="2" t="s">
        <v>669</v>
      </c>
      <c r="D18" s="2" t="s">
        <v>46</v>
      </c>
      <c r="E18" s="2" t="s">
        <v>1226</v>
      </c>
    </row>
    <row r="19" spans="1:5">
      <c r="A19" s="2" t="s">
        <v>329</v>
      </c>
      <c r="B19" s="2" t="s">
        <v>670</v>
      </c>
      <c r="C19" s="2" t="s">
        <v>671</v>
      </c>
      <c r="D19" s="2" t="s">
        <v>832</v>
      </c>
      <c r="E19" s="2" t="s">
        <v>1227</v>
      </c>
    </row>
    <row r="20" spans="1:5">
      <c r="A20" s="2" t="s">
        <v>329</v>
      </c>
      <c r="B20" s="2" t="s">
        <v>330</v>
      </c>
      <c r="C20" s="2" t="s">
        <v>331</v>
      </c>
      <c r="D20" s="2" t="s">
        <v>184</v>
      </c>
      <c r="E20" s="2" t="s">
        <v>1228</v>
      </c>
    </row>
    <row r="21" spans="1:5">
      <c r="A21" s="2" t="s">
        <v>329</v>
      </c>
      <c r="B21" s="2" t="s">
        <v>672</v>
      </c>
      <c r="C21" s="2" t="s">
        <v>673</v>
      </c>
      <c r="D21" s="2" t="s">
        <v>237</v>
      </c>
      <c r="E21" s="2" t="s">
        <v>1229</v>
      </c>
    </row>
    <row r="22" spans="1:5">
      <c r="A22" s="2" t="s">
        <v>329</v>
      </c>
      <c r="B22" s="2" t="s">
        <v>674</v>
      </c>
      <c r="C22" s="2" t="s">
        <v>675</v>
      </c>
      <c r="D22" s="2" t="s">
        <v>320</v>
      </c>
      <c r="E22" s="2" t="s">
        <v>1230</v>
      </c>
    </row>
    <row r="23" spans="1:5">
      <c r="A23" s="2" t="s">
        <v>177</v>
      </c>
      <c r="B23" s="2" t="s">
        <v>676</v>
      </c>
      <c r="C23" s="2" t="s">
        <v>677</v>
      </c>
      <c r="D23" s="2" t="s">
        <v>170</v>
      </c>
      <c r="E23" s="2" t="s">
        <v>1231</v>
      </c>
    </row>
    <row r="24" spans="1:5">
      <c r="A24" s="2" t="s">
        <v>177</v>
      </c>
      <c r="B24" s="2" t="s">
        <v>177</v>
      </c>
      <c r="C24" s="2" t="s">
        <v>178</v>
      </c>
      <c r="D24" s="2" t="s">
        <v>956</v>
      </c>
      <c r="E24" s="2" t="s">
        <v>1232</v>
      </c>
    </row>
    <row r="25" spans="1:5">
      <c r="A25" s="2" t="s">
        <v>177</v>
      </c>
      <c r="B25" s="2" t="s">
        <v>678</v>
      </c>
      <c r="C25" s="2" t="s">
        <v>679</v>
      </c>
      <c r="D25" s="2" t="s">
        <v>62</v>
      </c>
      <c r="E25" s="2" t="s">
        <v>1233</v>
      </c>
    </row>
    <row r="26" spans="1:5">
      <c r="A26" s="2" t="s">
        <v>177</v>
      </c>
      <c r="B26" s="2" t="s">
        <v>680</v>
      </c>
      <c r="C26" s="2" t="s">
        <v>681</v>
      </c>
      <c r="D26" s="2" t="s">
        <v>158</v>
      </c>
      <c r="E26" s="2" t="s">
        <v>1234</v>
      </c>
    </row>
    <row r="27" spans="1:5">
      <c r="A27" s="2" t="s">
        <v>177</v>
      </c>
      <c r="B27" s="2" t="s">
        <v>682</v>
      </c>
      <c r="C27" s="2" t="s">
        <v>683</v>
      </c>
      <c r="D27" s="2" t="s">
        <v>1028</v>
      </c>
      <c r="E27" s="2" t="s">
        <v>1235</v>
      </c>
    </row>
    <row r="28" spans="1:5">
      <c r="A28" s="2" t="s">
        <v>177</v>
      </c>
      <c r="B28" s="2" t="s">
        <v>684</v>
      </c>
      <c r="C28" s="2" t="s">
        <v>685</v>
      </c>
      <c r="D28" s="2" t="s">
        <v>400</v>
      </c>
      <c r="E28" s="2" t="s">
        <v>1236</v>
      </c>
    </row>
    <row r="29" spans="1:5">
      <c r="A29" s="2" t="s">
        <v>177</v>
      </c>
      <c r="B29" s="2" t="s">
        <v>686</v>
      </c>
      <c r="C29" s="2" t="s">
        <v>687</v>
      </c>
      <c r="D29" s="2" t="s">
        <v>262</v>
      </c>
      <c r="E29" s="2" t="s">
        <v>1237</v>
      </c>
    </row>
    <row r="30" spans="1:5">
      <c r="A30" s="2" t="s">
        <v>177</v>
      </c>
      <c r="B30" s="2" t="s">
        <v>688</v>
      </c>
      <c r="C30" s="2" t="s">
        <v>689</v>
      </c>
      <c r="D30" s="2" t="s">
        <v>379</v>
      </c>
      <c r="E30" s="2" t="s">
        <v>1238</v>
      </c>
    </row>
    <row r="31" spans="1:5">
      <c r="A31" s="2" t="s">
        <v>177</v>
      </c>
      <c r="B31" s="2" t="s">
        <v>690</v>
      </c>
      <c r="C31" s="2" t="s">
        <v>691</v>
      </c>
      <c r="D31" s="2" t="s">
        <v>1122</v>
      </c>
      <c r="E31" s="2" t="s">
        <v>1239</v>
      </c>
    </row>
    <row r="32" spans="1:5">
      <c r="A32" s="2" t="s">
        <v>177</v>
      </c>
      <c r="B32" s="2" t="s">
        <v>692</v>
      </c>
      <c r="C32" s="2" t="s">
        <v>693</v>
      </c>
      <c r="D32" s="2" t="s">
        <v>245</v>
      </c>
      <c r="E32" s="2" t="s">
        <v>1240</v>
      </c>
    </row>
    <row r="33" spans="1:5">
      <c r="A33" s="2" t="s">
        <v>177</v>
      </c>
      <c r="B33" s="2" t="s">
        <v>694</v>
      </c>
      <c r="C33" s="2" t="s">
        <v>695</v>
      </c>
      <c r="D33" s="2" t="s">
        <v>1152</v>
      </c>
      <c r="E33" s="2" t="s">
        <v>1241</v>
      </c>
    </row>
    <row r="34" spans="1:5">
      <c r="A34" s="2" t="s">
        <v>177</v>
      </c>
      <c r="B34" s="2" t="s">
        <v>696</v>
      </c>
      <c r="C34" s="2" t="s">
        <v>697</v>
      </c>
      <c r="D34" s="2" t="s">
        <v>77</v>
      </c>
      <c r="E34" s="2" t="s">
        <v>1242</v>
      </c>
    </row>
    <row r="35" spans="1:5">
      <c r="A35" s="2" t="s">
        <v>119</v>
      </c>
      <c r="B35" s="2" t="s">
        <v>119</v>
      </c>
      <c r="C35" s="2" t="s">
        <v>120</v>
      </c>
      <c r="D35" s="2" t="s">
        <v>1185</v>
      </c>
      <c r="E35" s="2" t="s">
        <v>1243</v>
      </c>
    </row>
    <row r="36" spans="1:5">
      <c r="A36" s="2" t="s">
        <v>119</v>
      </c>
      <c r="B36" s="2" t="s">
        <v>397</v>
      </c>
      <c r="C36" s="2" t="s">
        <v>398</v>
      </c>
    </row>
    <row r="37" spans="1:5">
      <c r="A37" s="2" t="s">
        <v>119</v>
      </c>
      <c r="B37" s="2" t="s">
        <v>698</v>
      </c>
      <c r="C37" s="2" t="s">
        <v>699</v>
      </c>
    </row>
    <row r="38" spans="1:5">
      <c r="A38" s="2" t="s">
        <v>119</v>
      </c>
      <c r="B38" s="2" t="s">
        <v>700</v>
      </c>
      <c r="C38" s="2" t="s">
        <v>701</v>
      </c>
    </row>
    <row r="39" spans="1:5">
      <c r="A39" s="2" t="s">
        <v>119</v>
      </c>
      <c r="B39" s="2" t="s">
        <v>702</v>
      </c>
      <c r="C39" s="2" t="s">
        <v>703</v>
      </c>
    </row>
    <row r="40" spans="1:5">
      <c r="A40" s="2" t="s">
        <v>119</v>
      </c>
      <c r="B40" s="2" t="s">
        <v>704</v>
      </c>
      <c r="C40" s="2" t="s">
        <v>705</v>
      </c>
    </row>
    <row r="41" spans="1:5">
      <c r="A41" s="2" t="s">
        <v>119</v>
      </c>
      <c r="B41" s="2" t="s">
        <v>706</v>
      </c>
      <c r="C41" s="2" t="s">
        <v>707</v>
      </c>
    </row>
    <row r="42" spans="1:5">
      <c r="A42" s="2" t="s">
        <v>119</v>
      </c>
      <c r="B42" s="2" t="s">
        <v>708</v>
      </c>
      <c r="C42" s="2" t="s">
        <v>709</v>
      </c>
    </row>
    <row r="43" spans="1:5">
      <c r="A43" s="2" t="s">
        <v>119</v>
      </c>
      <c r="B43" s="2" t="s">
        <v>710</v>
      </c>
      <c r="C43" s="2" t="s">
        <v>711</v>
      </c>
    </row>
    <row r="44" spans="1:5">
      <c r="A44" s="2" t="s">
        <v>389</v>
      </c>
      <c r="B44" s="2" t="s">
        <v>713</v>
      </c>
      <c r="C44" s="2" t="s">
        <v>714</v>
      </c>
    </row>
    <row r="45" spans="1:5">
      <c r="A45" s="2" t="s">
        <v>389</v>
      </c>
      <c r="B45" s="2" t="s">
        <v>715</v>
      </c>
      <c r="C45" s="2" t="s">
        <v>716</v>
      </c>
    </row>
    <row r="46" spans="1:5">
      <c r="A46" s="2" t="s">
        <v>389</v>
      </c>
      <c r="B46" s="2" t="s">
        <v>717</v>
      </c>
      <c r="C46" s="2" t="s">
        <v>718</v>
      </c>
    </row>
    <row r="47" spans="1:5">
      <c r="A47" s="2" t="s">
        <v>389</v>
      </c>
      <c r="B47" s="2" t="s">
        <v>389</v>
      </c>
      <c r="C47" s="2" t="s">
        <v>712</v>
      </c>
    </row>
    <row r="48" spans="1:5">
      <c r="A48" s="2" t="s">
        <v>389</v>
      </c>
      <c r="B48" s="2" t="s">
        <v>390</v>
      </c>
      <c r="C48" s="2" t="s">
        <v>391</v>
      </c>
    </row>
    <row r="49" spans="1:3">
      <c r="A49" s="2" t="s">
        <v>389</v>
      </c>
      <c r="B49" s="2" t="s">
        <v>719</v>
      </c>
      <c r="C49" s="2" t="s">
        <v>720</v>
      </c>
    </row>
    <row r="50" spans="1:3">
      <c r="A50" s="2" t="s">
        <v>389</v>
      </c>
      <c r="B50" s="2" t="s">
        <v>721</v>
      </c>
      <c r="C50" s="2" t="s">
        <v>722</v>
      </c>
    </row>
    <row r="51" spans="1:3">
      <c r="A51" s="2" t="s">
        <v>389</v>
      </c>
      <c r="B51" s="2" t="s">
        <v>723</v>
      </c>
      <c r="C51" s="2" t="s">
        <v>724</v>
      </c>
    </row>
    <row r="52" spans="1:3">
      <c r="A52" s="2" t="s">
        <v>389</v>
      </c>
      <c r="B52" s="2" t="s">
        <v>725</v>
      </c>
      <c r="C52" s="2" t="s">
        <v>726</v>
      </c>
    </row>
    <row r="53" spans="1:3">
      <c r="A53" s="2" t="s">
        <v>389</v>
      </c>
      <c r="B53" s="2" t="s">
        <v>727</v>
      </c>
      <c r="C53" s="2" t="s">
        <v>728</v>
      </c>
    </row>
    <row r="54" spans="1:3">
      <c r="A54" s="2" t="s">
        <v>389</v>
      </c>
      <c r="B54" s="2" t="s">
        <v>729</v>
      </c>
      <c r="C54" s="2" t="s">
        <v>730</v>
      </c>
    </row>
    <row r="55" spans="1:3">
      <c r="A55" s="2" t="s">
        <v>389</v>
      </c>
      <c r="B55" s="2" t="s">
        <v>731</v>
      </c>
      <c r="C55" s="2" t="s">
        <v>732</v>
      </c>
    </row>
    <row r="56" spans="1:3">
      <c r="A56" s="2" t="s">
        <v>389</v>
      </c>
      <c r="B56" s="2" t="s">
        <v>733</v>
      </c>
      <c r="C56" s="2" t="s">
        <v>734</v>
      </c>
    </row>
    <row r="57" spans="1:3">
      <c r="A57" s="2" t="s">
        <v>389</v>
      </c>
      <c r="B57" s="2" t="s">
        <v>735</v>
      </c>
      <c r="C57" s="2" t="s">
        <v>736</v>
      </c>
    </row>
    <row r="58" spans="1:3">
      <c r="A58" s="2" t="s">
        <v>389</v>
      </c>
      <c r="B58" s="2" t="s">
        <v>737</v>
      </c>
      <c r="C58" s="2" t="s">
        <v>738</v>
      </c>
    </row>
    <row r="59" spans="1:3">
      <c r="A59" s="2" t="s">
        <v>558</v>
      </c>
      <c r="B59" s="2" t="s">
        <v>740</v>
      </c>
      <c r="C59" s="2" t="s">
        <v>741</v>
      </c>
    </row>
    <row r="60" spans="1:3">
      <c r="A60" s="2" t="s">
        <v>558</v>
      </c>
      <c r="B60" s="2" t="s">
        <v>558</v>
      </c>
      <c r="C60" s="2" t="s">
        <v>739</v>
      </c>
    </row>
    <row r="61" spans="1:3">
      <c r="A61" s="2" t="s">
        <v>558</v>
      </c>
      <c r="B61" s="2" t="s">
        <v>383</v>
      </c>
      <c r="C61" s="2" t="s">
        <v>559</v>
      </c>
    </row>
    <row r="62" spans="1:3">
      <c r="A62" s="2" t="s">
        <v>558</v>
      </c>
      <c r="B62" s="2" t="s">
        <v>742</v>
      </c>
      <c r="C62" s="2" t="s">
        <v>743</v>
      </c>
    </row>
    <row r="63" spans="1:3">
      <c r="A63" s="2" t="s">
        <v>558</v>
      </c>
      <c r="B63" s="2" t="s">
        <v>744</v>
      </c>
      <c r="C63" s="2" t="s">
        <v>745</v>
      </c>
    </row>
    <row r="64" spans="1:3">
      <c r="A64" s="2" t="s">
        <v>558</v>
      </c>
      <c r="B64" s="2" t="s">
        <v>746</v>
      </c>
      <c r="C64" s="2" t="s">
        <v>747</v>
      </c>
    </row>
    <row r="65" spans="1:3">
      <c r="A65" s="2" t="s">
        <v>558</v>
      </c>
      <c r="B65" s="2" t="s">
        <v>748</v>
      </c>
      <c r="C65" s="2" t="s">
        <v>749</v>
      </c>
    </row>
    <row r="66" spans="1:3">
      <c r="A66" s="2" t="s">
        <v>558</v>
      </c>
      <c r="B66" s="2" t="s">
        <v>750</v>
      </c>
      <c r="C66" s="2" t="s">
        <v>751</v>
      </c>
    </row>
    <row r="67" spans="1:3">
      <c r="A67" s="2" t="s">
        <v>558</v>
      </c>
      <c r="B67" s="2" t="s">
        <v>752</v>
      </c>
      <c r="C67" s="2" t="s">
        <v>753</v>
      </c>
    </row>
    <row r="68" spans="1:3">
      <c r="A68" s="2" t="s">
        <v>558</v>
      </c>
      <c r="B68" s="2" t="s">
        <v>754</v>
      </c>
      <c r="C68" s="2" t="s">
        <v>755</v>
      </c>
    </row>
    <row r="69" spans="1:3">
      <c r="A69" s="2" t="s">
        <v>558</v>
      </c>
      <c r="B69" s="2" t="s">
        <v>756</v>
      </c>
      <c r="C69" s="2" t="s">
        <v>757</v>
      </c>
    </row>
    <row r="70" spans="1:3">
      <c r="A70" s="2" t="s">
        <v>558</v>
      </c>
      <c r="B70" s="2" t="s">
        <v>758</v>
      </c>
      <c r="C70" s="2" t="s">
        <v>759</v>
      </c>
    </row>
    <row r="71" spans="1:3">
      <c r="A71" s="2" t="s">
        <v>558</v>
      </c>
      <c r="B71" s="2" t="s">
        <v>760</v>
      </c>
      <c r="C71" s="2" t="s">
        <v>761</v>
      </c>
    </row>
    <row r="72" spans="1:3">
      <c r="A72" s="2" t="s">
        <v>558</v>
      </c>
      <c r="B72" s="2" t="s">
        <v>762</v>
      </c>
      <c r="C72" s="2" t="s">
        <v>763</v>
      </c>
    </row>
    <row r="73" spans="1:3">
      <c r="A73" s="2" t="s">
        <v>558</v>
      </c>
      <c r="B73" s="2" t="s">
        <v>764</v>
      </c>
      <c r="C73" s="2" t="s">
        <v>765</v>
      </c>
    </row>
    <row r="74" spans="1:3">
      <c r="A74" s="2" t="s">
        <v>55</v>
      </c>
      <c r="B74" s="2" t="s">
        <v>715</v>
      </c>
      <c r="C74" s="2" t="s">
        <v>766</v>
      </c>
    </row>
    <row r="75" spans="1:3">
      <c r="A75" s="2" t="s">
        <v>55</v>
      </c>
      <c r="B75" s="2" t="s">
        <v>767</v>
      </c>
      <c r="C75" s="2" t="s">
        <v>768</v>
      </c>
    </row>
    <row r="76" spans="1:3">
      <c r="A76" s="2" t="s">
        <v>55</v>
      </c>
      <c r="B76" s="2" t="s">
        <v>55</v>
      </c>
      <c r="C76" s="2" t="s">
        <v>56</v>
      </c>
    </row>
    <row r="77" spans="1:3">
      <c r="A77" s="2" t="s">
        <v>55</v>
      </c>
      <c r="B77" s="2" t="s">
        <v>769</v>
      </c>
      <c r="C77" s="2" t="s">
        <v>770</v>
      </c>
    </row>
    <row r="78" spans="1:3">
      <c r="A78" s="2" t="s">
        <v>55</v>
      </c>
      <c r="B78" s="2" t="s">
        <v>403</v>
      </c>
      <c r="C78" s="2" t="s">
        <v>404</v>
      </c>
    </row>
    <row r="79" spans="1:3">
      <c r="A79" s="2" t="s">
        <v>55</v>
      </c>
      <c r="B79" s="2" t="s">
        <v>771</v>
      </c>
      <c r="C79" s="2" t="s">
        <v>772</v>
      </c>
    </row>
    <row r="80" spans="1:3">
      <c r="A80" s="2" t="s">
        <v>55</v>
      </c>
      <c r="B80" s="2" t="s">
        <v>773</v>
      </c>
      <c r="C80" s="2" t="s">
        <v>774</v>
      </c>
    </row>
    <row r="81" spans="1:3">
      <c r="A81" s="2" t="s">
        <v>55</v>
      </c>
      <c r="B81" s="2" t="s">
        <v>775</v>
      </c>
      <c r="C81" s="2" t="s">
        <v>776</v>
      </c>
    </row>
    <row r="82" spans="1:3">
      <c r="A82" s="2" t="s">
        <v>55</v>
      </c>
      <c r="B82" s="2" t="s">
        <v>777</v>
      </c>
      <c r="C82" s="2" t="s">
        <v>778</v>
      </c>
    </row>
    <row r="83" spans="1:3">
      <c r="A83" s="2" t="s">
        <v>55</v>
      </c>
      <c r="B83" s="2" t="s">
        <v>779</v>
      </c>
      <c r="C83" s="2" t="s">
        <v>780</v>
      </c>
    </row>
    <row r="84" spans="1:3">
      <c r="A84" s="2" t="s">
        <v>55</v>
      </c>
      <c r="B84" s="2" t="s">
        <v>781</v>
      </c>
      <c r="C84" s="2" t="s">
        <v>782</v>
      </c>
    </row>
    <row r="85" spans="1:3">
      <c r="A85" s="2" t="s">
        <v>55</v>
      </c>
      <c r="B85" s="2" t="s">
        <v>783</v>
      </c>
      <c r="C85" s="2" t="s">
        <v>784</v>
      </c>
    </row>
    <row r="86" spans="1:3">
      <c r="A86" s="2" t="s">
        <v>55</v>
      </c>
      <c r="B86" s="2" t="s">
        <v>785</v>
      </c>
      <c r="C86" s="2" t="s">
        <v>786</v>
      </c>
    </row>
    <row r="87" spans="1:3">
      <c r="A87" s="2" t="s">
        <v>55</v>
      </c>
      <c r="B87" s="2" t="s">
        <v>787</v>
      </c>
      <c r="C87" s="2" t="s">
        <v>788</v>
      </c>
    </row>
    <row r="88" spans="1:3">
      <c r="A88" s="2" t="s">
        <v>55</v>
      </c>
      <c r="B88" s="2" t="s">
        <v>789</v>
      </c>
      <c r="C88" s="2" t="s">
        <v>790</v>
      </c>
    </row>
    <row r="89" spans="1:3">
      <c r="A89" s="2" t="s">
        <v>111</v>
      </c>
      <c r="B89" s="2" t="s">
        <v>111</v>
      </c>
      <c r="C89" s="2" t="s">
        <v>112</v>
      </c>
    </row>
    <row r="90" spans="1:3">
      <c r="A90" s="2" t="s">
        <v>197</v>
      </c>
      <c r="B90" s="2" t="s">
        <v>197</v>
      </c>
      <c r="C90" s="2" t="s">
        <v>198</v>
      </c>
    </row>
    <row r="91" spans="1:3">
      <c r="A91" s="2" t="s">
        <v>136</v>
      </c>
      <c r="B91" s="2" t="s">
        <v>136</v>
      </c>
      <c r="C91" s="2" t="s">
        <v>137</v>
      </c>
    </row>
    <row r="92" spans="1:3">
      <c r="A92" s="2" t="s">
        <v>70</v>
      </c>
      <c r="B92" s="2" t="s">
        <v>70</v>
      </c>
      <c r="C92" s="2" t="s">
        <v>71</v>
      </c>
    </row>
    <row r="93" spans="1:3">
      <c r="A93" s="2" t="s">
        <v>271</v>
      </c>
      <c r="B93" s="2" t="s">
        <v>271</v>
      </c>
      <c r="C93" s="2" t="s">
        <v>272</v>
      </c>
    </row>
    <row r="94" spans="1:3">
      <c r="A94" s="2" t="s">
        <v>163</v>
      </c>
      <c r="B94" s="2" t="s">
        <v>163</v>
      </c>
      <c r="C94" s="2" t="s">
        <v>164</v>
      </c>
    </row>
    <row r="95" spans="1:3">
      <c r="A95" s="2" t="s">
        <v>95</v>
      </c>
      <c r="B95" s="2" t="s">
        <v>95</v>
      </c>
      <c r="C95" s="2" t="s">
        <v>96</v>
      </c>
    </row>
    <row r="96" spans="1:3">
      <c r="A96" s="2" t="s">
        <v>85</v>
      </c>
      <c r="B96" s="2" t="s">
        <v>85</v>
      </c>
      <c r="C96" s="2" t="s">
        <v>86</v>
      </c>
    </row>
    <row r="97" spans="1:3">
      <c r="A97" s="2" t="s">
        <v>210</v>
      </c>
      <c r="B97" s="2" t="s">
        <v>210</v>
      </c>
      <c r="C97" s="2" t="s">
        <v>211</v>
      </c>
    </row>
    <row r="98" spans="1:3">
      <c r="A98" s="2" t="s">
        <v>210</v>
      </c>
      <c r="B98" s="2" t="s">
        <v>791</v>
      </c>
      <c r="C98" s="2" t="s">
        <v>792</v>
      </c>
    </row>
    <row r="99" spans="1:3">
      <c r="A99" s="2" t="s">
        <v>210</v>
      </c>
      <c r="B99" s="2" t="s">
        <v>793</v>
      </c>
      <c r="C99" s="2" t="s">
        <v>794</v>
      </c>
    </row>
    <row r="100" spans="1:3">
      <c r="A100" s="2" t="s">
        <v>210</v>
      </c>
      <c r="B100" s="2" t="s">
        <v>795</v>
      </c>
      <c r="C100" s="2" t="s">
        <v>796</v>
      </c>
    </row>
    <row r="101" spans="1:3">
      <c r="A101" s="2" t="s">
        <v>210</v>
      </c>
      <c r="B101" s="2" t="s">
        <v>797</v>
      </c>
      <c r="C101" s="2" t="s">
        <v>798</v>
      </c>
    </row>
    <row r="102" spans="1:3">
      <c r="A102" s="2" t="s">
        <v>210</v>
      </c>
      <c r="B102" s="2" t="s">
        <v>799</v>
      </c>
      <c r="C102" s="2" t="s">
        <v>800</v>
      </c>
    </row>
    <row r="103" spans="1:3">
      <c r="A103" s="2" t="s">
        <v>210</v>
      </c>
      <c r="B103" s="2" t="s">
        <v>801</v>
      </c>
      <c r="C103" s="2" t="s">
        <v>802</v>
      </c>
    </row>
    <row r="104" spans="1:3">
      <c r="A104" s="2" t="s">
        <v>210</v>
      </c>
      <c r="B104" s="2" t="s">
        <v>803</v>
      </c>
      <c r="C104" s="2" t="s">
        <v>804</v>
      </c>
    </row>
    <row r="105" spans="1:3">
      <c r="A105" s="2" t="s">
        <v>210</v>
      </c>
      <c r="B105" s="2" t="s">
        <v>805</v>
      </c>
      <c r="C105" s="2" t="s">
        <v>806</v>
      </c>
    </row>
    <row r="106" spans="1:3">
      <c r="A106" s="2" t="s">
        <v>46</v>
      </c>
      <c r="B106" s="2" t="s">
        <v>126</v>
      </c>
      <c r="C106" s="2" t="s">
        <v>127</v>
      </c>
    </row>
    <row r="107" spans="1:3">
      <c r="A107" s="2" t="s">
        <v>46</v>
      </c>
      <c r="B107" s="2" t="s">
        <v>46</v>
      </c>
      <c r="C107" s="2" t="s">
        <v>807</v>
      </c>
    </row>
    <row r="108" spans="1:3">
      <c r="A108" s="2" t="s">
        <v>46</v>
      </c>
      <c r="B108" s="2" t="s">
        <v>808</v>
      </c>
      <c r="C108" s="2" t="s">
        <v>809</v>
      </c>
    </row>
    <row r="109" spans="1:3">
      <c r="A109" s="2" t="s">
        <v>46</v>
      </c>
      <c r="B109" s="2" t="s">
        <v>810</v>
      </c>
      <c r="C109" s="2" t="s">
        <v>811</v>
      </c>
    </row>
    <row r="110" spans="1:3">
      <c r="A110" s="2" t="s">
        <v>46</v>
      </c>
      <c r="B110" s="2" t="s">
        <v>812</v>
      </c>
      <c r="C110" s="2" t="s">
        <v>813</v>
      </c>
    </row>
    <row r="111" spans="1:3">
      <c r="A111" s="2" t="s">
        <v>46</v>
      </c>
      <c r="B111" s="2" t="s">
        <v>814</v>
      </c>
      <c r="C111" s="2" t="s">
        <v>815</v>
      </c>
    </row>
    <row r="112" spans="1:3">
      <c r="A112" s="2" t="s">
        <v>46</v>
      </c>
      <c r="B112" s="2" t="s">
        <v>816</v>
      </c>
      <c r="C112" s="2" t="s">
        <v>817</v>
      </c>
    </row>
    <row r="113" spans="1:3">
      <c r="A113" s="2" t="s">
        <v>46</v>
      </c>
      <c r="B113" s="2" t="s">
        <v>47</v>
      </c>
      <c r="C113" s="2" t="s">
        <v>48</v>
      </c>
    </row>
    <row r="114" spans="1:3">
      <c r="A114" s="2" t="s">
        <v>46</v>
      </c>
      <c r="B114" s="2" t="s">
        <v>296</v>
      </c>
      <c r="C114" s="2" t="s">
        <v>297</v>
      </c>
    </row>
    <row r="115" spans="1:3">
      <c r="A115" s="2" t="s">
        <v>46</v>
      </c>
      <c r="B115" s="2" t="s">
        <v>818</v>
      </c>
      <c r="C115" s="2" t="s">
        <v>819</v>
      </c>
    </row>
    <row r="116" spans="1:3">
      <c r="A116" s="2" t="s">
        <v>46</v>
      </c>
      <c r="B116" s="2" t="s">
        <v>820</v>
      </c>
      <c r="C116" s="2" t="s">
        <v>821</v>
      </c>
    </row>
    <row r="117" spans="1:3">
      <c r="A117" s="2" t="s">
        <v>46</v>
      </c>
      <c r="B117" s="2" t="s">
        <v>822</v>
      </c>
      <c r="C117" s="2" t="s">
        <v>823</v>
      </c>
    </row>
    <row r="118" spans="1:3">
      <c r="A118" s="2" t="s">
        <v>46</v>
      </c>
      <c r="B118" s="2" t="s">
        <v>824</v>
      </c>
      <c r="C118" s="2" t="s">
        <v>825</v>
      </c>
    </row>
    <row r="119" spans="1:3">
      <c r="A119" s="2" t="s">
        <v>46</v>
      </c>
      <c r="B119" s="2" t="s">
        <v>826</v>
      </c>
      <c r="C119" s="2" t="s">
        <v>827</v>
      </c>
    </row>
    <row r="120" spans="1:3">
      <c r="A120" s="2" t="s">
        <v>46</v>
      </c>
      <c r="B120" s="2" t="s">
        <v>828</v>
      </c>
      <c r="C120" s="2" t="s">
        <v>829</v>
      </c>
    </row>
    <row r="121" spans="1:3">
      <c r="A121" s="2" t="s">
        <v>46</v>
      </c>
      <c r="B121" s="2" t="s">
        <v>830</v>
      </c>
      <c r="C121" s="2" t="s">
        <v>831</v>
      </c>
    </row>
    <row r="122" spans="1:3">
      <c r="A122" s="2" t="s">
        <v>832</v>
      </c>
      <c r="B122" s="2" t="s">
        <v>834</v>
      </c>
      <c r="C122" s="2" t="s">
        <v>835</v>
      </c>
    </row>
    <row r="123" spans="1:3">
      <c r="A123" s="2" t="s">
        <v>832</v>
      </c>
      <c r="B123" s="2" t="s">
        <v>836</v>
      </c>
      <c r="C123" s="2" t="s">
        <v>837</v>
      </c>
    </row>
    <row r="124" spans="1:3">
      <c r="A124" s="2" t="s">
        <v>832</v>
      </c>
      <c r="B124" s="2" t="s">
        <v>838</v>
      </c>
      <c r="C124" s="2" t="s">
        <v>839</v>
      </c>
    </row>
    <row r="125" spans="1:3">
      <c r="A125" s="2" t="s">
        <v>832</v>
      </c>
      <c r="B125" s="2" t="s">
        <v>840</v>
      </c>
      <c r="C125" s="2" t="s">
        <v>841</v>
      </c>
    </row>
    <row r="126" spans="1:3">
      <c r="A126" s="2" t="s">
        <v>832</v>
      </c>
      <c r="B126" s="2" t="s">
        <v>842</v>
      </c>
      <c r="C126" s="2" t="s">
        <v>843</v>
      </c>
    </row>
    <row r="127" spans="1:3">
      <c r="A127" s="2" t="s">
        <v>832</v>
      </c>
      <c r="B127" s="2" t="s">
        <v>832</v>
      </c>
      <c r="C127" s="2" t="s">
        <v>833</v>
      </c>
    </row>
    <row r="128" spans="1:3">
      <c r="A128" s="2" t="s">
        <v>832</v>
      </c>
      <c r="B128" s="2" t="s">
        <v>844</v>
      </c>
      <c r="C128" s="2" t="s">
        <v>845</v>
      </c>
    </row>
    <row r="129" spans="1:3">
      <c r="A129" s="2" t="s">
        <v>832</v>
      </c>
      <c r="B129" s="2" t="s">
        <v>846</v>
      </c>
      <c r="C129" s="2" t="s">
        <v>847</v>
      </c>
    </row>
    <row r="130" spans="1:3">
      <c r="A130" s="2" t="s">
        <v>832</v>
      </c>
      <c r="B130" s="2" t="s">
        <v>848</v>
      </c>
      <c r="C130" s="2" t="s">
        <v>849</v>
      </c>
    </row>
    <row r="131" spans="1:3">
      <c r="A131" s="2" t="s">
        <v>832</v>
      </c>
      <c r="B131" s="2" t="s">
        <v>850</v>
      </c>
      <c r="C131" s="2" t="s">
        <v>851</v>
      </c>
    </row>
    <row r="132" spans="1:3">
      <c r="A132" s="2" t="s">
        <v>832</v>
      </c>
      <c r="B132" s="2" t="s">
        <v>852</v>
      </c>
      <c r="C132" s="2" t="s">
        <v>853</v>
      </c>
    </row>
    <row r="133" spans="1:3">
      <c r="A133" s="2" t="s">
        <v>832</v>
      </c>
      <c r="B133" s="2" t="s">
        <v>854</v>
      </c>
      <c r="C133" s="2" t="s">
        <v>855</v>
      </c>
    </row>
    <row r="134" spans="1:3">
      <c r="A134" s="2" t="s">
        <v>832</v>
      </c>
      <c r="B134" s="2" t="s">
        <v>856</v>
      </c>
      <c r="C134" s="2" t="s">
        <v>857</v>
      </c>
    </row>
    <row r="135" spans="1:3">
      <c r="A135" s="2" t="s">
        <v>832</v>
      </c>
      <c r="B135" s="2" t="s">
        <v>858</v>
      </c>
      <c r="C135" s="2" t="s">
        <v>859</v>
      </c>
    </row>
    <row r="136" spans="1:3">
      <c r="A136" s="2" t="s">
        <v>832</v>
      </c>
      <c r="B136" s="2" t="s">
        <v>860</v>
      </c>
      <c r="C136" s="2" t="s">
        <v>861</v>
      </c>
    </row>
    <row r="137" spans="1:3">
      <c r="A137" s="2" t="s">
        <v>832</v>
      </c>
      <c r="B137" s="2" t="s">
        <v>862</v>
      </c>
      <c r="C137" s="2" t="s">
        <v>863</v>
      </c>
    </row>
    <row r="138" spans="1:3">
      <c r="A138" s="2" t="s">
        <v>832</v>
      </c>
      <c r="B138" s="2" t="s">
        <v>864</v>
      </c>
      <c r="C138" s="2" t="s">
        <v>865</v>
      </c>
    </row>
    <row r="139" spans="1:3">
      <c r="A139" s="2" t="s">
        <v>184</v>
      </c>
      <c r="B139" s="2" t="s">
        <v>866</v>
      </c>
      <c r="C139" s="2" t="s">
        <v>867</v>
      </c>
    </row>
    <row r="140" spans="1:3">
      <c r="A140" s="2" t="s">
        <v>184</v>
      </c>
      <c r="B140" s="2" t="s">
        <v>370</v>
      </c>
      <c r="C140" s="2" t="s">
        <v>371</v>
      </c>
    </row>
    <row r="141" spans="1:3">
      <c r="A141" s="2" t="s">
        <v>184</v>
      </c>
      <c r="B141" s="2" t="s">
        <v>868</v>
      </c>
      <c r="C141" s="2" t="s">
        <v>869</v>
      </c>
    </row>
    <row r="142" spans="1:3">
      <c r="A142" s="2" t="s">
        <v>184</v>
      </c>
      <c r="B142" s="2" t="s">
        <v>184</v>
      </c>
      <c r="C142" s="2" t="s">
        <v>185</v>
      </c>
    </row>
    <row r="143" spans="1:3">
      <c r="A143" s="2" t="s">
        <v>184</v>
      </c>
      <c r="B143" s="2" t="s">
        <v>373</v>
      </c>
      <c r="C143" s="2" t="s">
        <v>374</v>
      </c>
    </row>
    <row r="144" spans="1:3">
      <c r="A144" s="2" t="s">
        <v>184</v>
      </c>
      <c r="B144" s="2" t="s">
        <v>870</v>
      </c>
      <c r="C144" s="2" t="s">
        <v>871</v>
      </c>
    </row>
    <row r="145" spans="1:3">
      <c r="A145" s="2" t="s">
        <v>184</v>
      </c>
      <c r="B145" s="2" t="s">
        <v>748</v>
      </c>
      <c r="C145" s="2" t="s">
        <v>872</v>
      </c>
    </row>
    <row r="146" spans="1:3">
      <c r="A146" s="2" t="s">
        <v>184</v>
      </c>
      <c r="B146" s="2" t="s">
        <v>873</v>
      </c>
      <c r="C146" s="2" t="s">
        <v>874</v>
      </c>
    </row>
    <row r="147" spans="1:3">
      <c r="A147" s="2" t="s">
        <v>184</v>
      </c>
      <c r="B147" s="2" t="s">
        <v>875</v>
      </c>
      <c r="C147" s="2" t="s">
        <v>876</v>
      </c>
    </row>
    <row r="148" spans="1:3">
      <c r="A148" s="2" t="s">
        <v>184</v>
      </c>
      <c r="B148" s="2" t="s">
        <v>877</v>
      </c>
      <c r="C148" s="2" t="s">
        <v>878</v>
      </c>
    </row>
    <row r="149" spans="1:3">
      <c r="A149" s="2" t="s">
        <v>184</v>
      </c>
      <c r="B149" s="2" t="s">
        <v>879</v>
      </c>
      <c r="C149" s="2" t="s">
        <v>880</v>
      </c>
    </row>
    <row r="150" spans="1:3">
      <c r="A150" s="2" t="s">
        <v>237</v>
      </c>
      <c r="B150" s="2" t="s">
        <v>881</v>
      </c>
      <c r="C150" s="2" t="s">
        <v>882</v>
      </c>
    </row>
    <row r="151" spans="1:3">
      <c r="A151" s="2" t="s">
        <v>237</v>
      </c>
      <c r="B151" s="2" t="s">
        <v>883</v>
      </c>
      <c r="C151" s="2" t="s">
        <v>884</v>
      </c>
    </row>
    <row r="152" spans="1:3">
      <c r="A152" s="2" t="s">
        <v>237</v>
      </c>
      <c r="B152" s="2" t="s">
        <v>885</v>
      </c>
      <c r="C152" s="2" t="s">
        <v>886</v>
      </c>
    </row>
    <row r="153" spans="1:3">
      <c r="A153" s="2" t="s">
        <v>237</v>
      </c>
      <c r="B153" s="2" t="s">
        <v>887</v>
      </c>
      <c r="C153" s="2" t="s">
        <v>888</v>
      </c>
    </row>
    <row r="154" spans="1:3">
      <c r="A154" s="2" t="s">
        <v>237</v>
      </c>
      <c r="B154" s="2" t="s">
        <v>889</v>
      </c>
      <c r="C154" s="2" t="s">
        <v>890</v>
      </c>
    </row>
    <row r="155" spans="1:3">
      <c r="A155" s="2" t="s">
        <v>237</v>
      </c>
      <c r="B155" s="2" t="s">
        <v>891</v>
      </c>
      <c r="C155" s="2" t="s">
        <v>892</v>
      </c>
    </row>
    <row r="156" spans="1:3">
      <c r="A156" s="2" t="s">
        <v>237</v>
      </c>
      <c r="B156" s="2" t="s">
        <v>893</v>
      </c>
      <c r="C156" s="2" t="s">
        <v>894</v>
      </c>
    </row>
    <row r="157" spans="1:3">
      <c r="A157" s="2" t="s">
        <v>237</v>
      </c>
      <c r="B157" s="2" t="s">
        <v>895</v>
      </c>
      <c r="C157" s="2" t="s">
        <v>896</v>
      </c>
    </row>
    <row r="158" spans="1:3">
      <c r="A158" s="2" t="s">
        <v>237</v>
      </c>
      <c r="B158" s="2" t="s">
        <v>237</v>
      </c>
      <c r="C158" s="2" t="s">
        <v>238</v>
      </c>
    </row>
    <row r="159" spans="1:3">
      <c r="A159" s="2" t="s">
        <v>237</v>
      </c>
      <c r="B159" s="2" t="s">
        <v>897</v>
      </c>
      <c r="C159" s="2" t="s">
        <v>898</v>
      </c>
    </row>
    <row r="160" spans="1:3">
      <c r="A160" s="2" t="s">
        <v>237</v>
      </c>
      <c r="B160" s="2" t="s">
        <v>899</v>
      </c>
      <c r="C160" s="2" t="s">
        <v>900</v>
      </c>
    </row>
    <row r="161" spans="1:3">
      <c r="A161" s="2" t="s">
        <v>237</v>
      </c>
      <c r="B161" s="2" t="s">
        <v>901</v>
      </c>
      <c r="C161" s="2" t="s">
        <v>902</v>
      </c>
    </row>
    <row r="162" spans="1:3">
      <c r="A162" s="2" t="s">
        <v>237</v>
      </c>
      <c r="B162" s="2" t="s">
        <v>903</v>
      </c>
      <c r="C162" s="2" t="s">
        <v>904</v>
      </c>
    </row>
    <row r="163" spans="1:3">
      <c r="A163" s="2" t="s">
        <v>237</v>
      </c>
      <c r="B163" s="2" t="s">
        <v>905</v>
      </c>
      <c r="C163" s="2" t="s">
        <v>906</v>
      </c>
    </row>
    <row r="164" spans="1:3">
      <c r="A164" s="2" t="s">
        <v>237</v>
      </c>
      <c r="B164" s="2" t="s">
        <v>907</v>
      </c>
      <c r="C164" s="2" t="s">
        <v>908</v>
      </c>
    </row>
    <row r="165" spans="1:3">
      <c r="A165" s="2" t="s">
        <v>237</v>
      </c>
      <c r="B165" s="2" t="s">
        <v>909</v>
      </c>
      <c r="C165" s="2" t="s">
        <v>910</v>
      </c>
    </row>
    <row r="166" spans="1:3">
      <c r="A166" s="2" t="s">
        <v>320</v>
      </c>
      <c r="B166" s="2" t="s">
        <v>912</v>
      </c>
      <c r="C166" s="2" t="s">
        <v>913</v>
      </c>
    </row>
    <row r="167" spans="1:3">
      <c r="A167" s="2" t="s">
        <v>320</v>
      </c>
      <c r="B167" s="2" t="s">
        <v>320</v>
      </c>
      <c r="C167" s="2" t="s">
        <v>911</v>
      </c>
    </row>
    <row r="168" spans="1:3">
      <c r="A168" s="2" t="s">
        <v>320</v>
      </c>
      <c r="B168" s="2" t="s">
        <v>914</v>
      </c>
      <c r="C168" s="2" t="s">
        <v>915</v>
      </c>
    </row>
    <row r="169" spans="1:3">
      <c r="A169" s="2" t="s">
        <v>320</v>
      </c>
      <c r="B169" s="2" t="s">
        <v>321</v>
      </c>
      <c r="C169" s="2" t="s">
        <v>322</v>
      </c>
    </row>
    <row r="170" spans="1:3">
      <c r="A170" s="2" t="s">
        <v>320</v>
      </c>
      <c r="B170" s="2" t="s">
        <v>916</v>
      </c>
      <c r="C170" s="2" t="s">
        <v>917</v>
      </c>
    </row>
    <row r="171" spans="1:3">
      <c r="A171" s="2" t="s">
        <v>320</v>
      </c>
      <c r="B171" s="2" t="s">
        <v>918</v>
      </c>
      <c r="C171" s="2" t="s">
        <v>919</v>
      </c>
    </row>
    <row r="172" spans="1:3">
      <c r="A172" s="2" t="s">
        <v>320</v>
      </c>
      <c r="B172" s="2" t="s">
        <v>920</v>
      </c>
      <c r="C172" s="2" t="s">
        <v>921</v>
      </c>
    </row>
    <row r="173" spans="1:3">
      <c r="A173" s="2" t="s">
        <v>320</v>
      </c>
      <c r="B173" s="2" t="s">
        <v>922</v>
      </c>
      <c r="C173" s="2" t="s">
        <v>923</v>
      </c>
    </row>
    <row r="174" spans="1:3">
      <c r="A174" s="2" t="s">
        <v>320</v>
      </c>
      <c r="B174" s="2" t="s">
        <v>924</v>
      </c>
      <c r="C174" s="2" t="s">
        <v>925</v>
      </c>
    </row>
    <row r="175" spans="1:3">
      <c r="A175" s="2" t="s">
        <v>320</v>
      </c>
      <c r="B175" s="2" t="s">
        <v>926</v>
      </c>
      <c r="C175" s="2" t="s">
        <v>927</v>
      </c>
    </row>
    <row r="176" spans="1:3">
      <c r="A176" s="2" t="s">
        <v>320</v>
      </c>
      <c r="B176" s="2" t="s">
        <v>928</v>
      </c>
      <c r="C176" s="2" t="s">
        <v>929</v>
      </c>
    </row>
    <row r="177" spans="1:3">
      <c r="A177" s="2" t="s">
        <v>320</v>
      </c>
      <c r="B177" s="2" t="s">
        <v>930</v>
      </c>
      <c r="C177" s="2" t="s">
        <v>931</v>
      </c>
    </row>
    <row r="178" spans="1:3">
      <c r="A178" s="2" t="s">
        <v>170</v>
      </c>
      <c r="B178" s="2" t="s">
        <v>932</v>
      </c>
      <c r="C178" s="2" t="s">
        <v>933</v>
      </c>
    </row>
    <row r="179" spans="1:3">
      <c r="A179" s="2" t="s">
        <v>170</v>
      </c>
      <c r="B179" s="2" t="s">
        <v>934</v>
      </c>
      <c r="C179" s="2" t="s">
        <v>935</v>
      </c>
    </row>
    <row r="180" spans="1:3">
      <c r="A180" s="2" t="s">
        <v>170</v>
      </c>
      <c r="B180" s="2" t="s">
        <v>936</v>
      </c>
      <c r="C180" s="2" t="s">
        <v>937</v>
      </c>
    </row>
    <row r="181" spans="1:3">
      <c r="A181" s="2" t="s">
        <v>170</v>
      </c>
      <c r="B181" s="2" t="s">
        <v>170</v>
      </c>
      <c r="C181" s="2" t="s">
        <v>171</v>
      </c>
    </row>
    <row r="182" spans="1:3">
      <c r="A182" s="2" t="s">
        <v>170</v>
      </c>
      <c r="B182" s="2" t="s">
        <v>938</v>
      </c>
      <c r="C182" s="2" t="s">
        <v>939</v>
      </c>
    </row>
    <row r="183" spans="1:3">
      <c r="A183" s="2" t="s">
        <v>170</v>
      </c>
      <c r="B183" s="2" t="s">
        <v>940</v>
      </c>
      <c r="C183" s="2" t="s">
        <v>941</v>
      </c>
    </row>
    <row r="184" spans="1:3">
      <c r="A184" s="2" t="s">
        <v>170</v>
      </c>
      <c r="B184" s="2" t="s">
        <v>942</v>
      </c>
      <c r="C184" s="2" t="s">
        <v>943</v>
      </c>
    </row>
    <row r="185" spans="1:3">
      <c r="A185" s="2" t="s">
        <v>170</v>
      </c>
      <c r="B185" s="2" t="s">
        <v>944</v>
      </c>
      <c r="C185" s="2" t="s">
        <v>945</v>
      </c>
    </row>
    <row r="186" spans="1:3">
      <c r="A186" s="2" t="s">
        <v>170</v>
      </c>
      <c r="B186" s="2" t="s">
        <v>946</v>
      </c>
      <c r="C186" s="2" t="s">
        <v>947</v>
      </c>
    </row>
    <row r="187" spans="1:3">
      <c r="A187" s="2" t="s">
        <v>170</v>
      </c>
      <c r="B187" s="2" t="s">
        <v>948</v>
      </c>
      <c r="C187" s="2" t="s">
        <v>949</v>
      </c>
    </row>
    <row r="188" spans="1:3">
      <c r="A188" s="2" t="s">
        <v>170</v>
      </c>
      <c r="B188" s="2" t="s">
        <v>950</v>
      </c>
      <c r="C188" s="2" t="s">
        <v>951</v>
      </c>
    </row>
    <row r="189" spans="1:3">
      <c r="A189" s="2" t="s">
        <v>170</v>
      </c>
      <c r="B189" s="2" t="s">
        <v>952</v>
      </c>
      <c r="C189" s="2" t="s">
        <v>953</v>
      </c>
    </row>
    <row r="190" spans="1:3">
      <c r="A190" s="2" t="s">
        <v>170</v>
      </c>
      <c r="B190" s="2" t="s">
        <v>954</v>
      </c>
      <c r="C190" s="2" t="s">
        <v>955</v>
      </c>
    </row>
    <row r="191" spans="1:3">
      <c r="A191" s="2" t="s">
        <v>956</v>
      </c>
      <c r="B191" s="2" t="s">
        <v>958</v>
      </c>
      <c r="C191" s="2" t="s">
        <v>959</v>
      </c>
    </row>
    <row r="192" spans="1:3">
      <c r="A192" s="2" t="s">
        <v>956</v>
      </c>
      <c r="B192" s="2" t="s">
        <v>960</v>
      </c>
      <c r="C192" s="2" t="s">
        <v>961</v>
      </c>
    </row>
    <row r="193" spans="1:3">
      <c r="A193" s="2" t="s">
        <v>956</v>
      </c>
      <c r="B193" s="2" t="s">
        <v>962</v>
      </c>
      <c r="C193" s="2" t="s">
        <v>963</v>
      </c>
    </row>
    <row r="194" spans="1:3">
      <c r="A194" s="2" t="s">
        <v>956</v>
      </c>
      <c r="B194" s="2" t="s">
        <v>964</v>
      </c>
      <c r="C194" s="2" t="s">
        <v>965</v>
      </c>
    </row>
    <row r="195" spans="1:3">
      <c r="A195" s="2" t="s">
        <v>956</v>
      </c>
      <c r="B195" s="2" t="s">
        <v>956</v>
      </c>
      <c r="C195" s="2" t="s">
        <v>957</v>
      </c>
    </row>
    <row r="196" spans="1:3">
      <c r="A196" s="2" t="s">
        <v>956</v>
      </c>
      <c r="B196" s="2" t="s">
        <v>966</v>
      </c>
      <c r="C196" s="2" t="s">
        <v>967</v>
      </c>
    </row>
    <row r="197" spans="1:3">
      <c r="A197" s="2" t="s">
        <v>956</v>
      </c>
      <c r="B197" s="2" t="s">
        <v>968</v>
      </c>
      <c r="C197" s="2" t="s">
        <v>969</v>
      </c>
    </row>
    <row r="198" spans="1:3">
      <c r="A198" s="2" t="s">
        <v>956</v>
      </c>
      <c r="B198" s="2" t="s">
        <v>970</v>
      </c>
      <c r="C198" s="2" t="s">
        <v>971</v>
      </c>
    </row>
    <row r="199" spans="1:3">
      <c r="A199" s="2" t="s">
        <v>956</v>
      </c>
      <c r="B199" s="2" t="s">
        <v>972</v>
      </c>
      <c r="C199" s="2" t="s">
        <v>973</v>
      </c>
    </row>
    <row r="200" spans="1:3">
      <c r="A200" s="2" t="s">
        <v>956</v>
      </c>
      <c r="B200" s="2" t="s">
        <v>974</v>
      </c>
      <c r="C200" s="2" t="s">
        <v>975</v>
      </c>
    </row>
    <row r="201" spans="1:3">
      <c r="A201" s="2" t="s">
        <v>956</v>
      </c>
      <c r="B201" s="2" t="s">
        <v>976</v>
      </c>
      <c r="C201" s="2" t="s">
        <v>977</v>
      </c>
    </row>
    <row r="202" spans="1:3">
      <c r="A202" s="2" t="s">
        <v>956</v>
      </c>
      <c r="B202" s="2" t="s">
        <v>978</v>
      </c>
      <c r="C202" s="2" t="s">
        <v>979</v>
      </c>
    </row>
    <row r="203" spans="1:3">
      <c r="A203" s="2" t="s">
        <v>62</v>
      </c>
      <c r="B203" s="2" t="s">
        <v>376</v>
      </c>
      <c r="C203" s="2" t="s">
        <v>377</v>
      </c>
    </row>
    <row r="204" spans="1:3">
      <c r="A204" s="2" t="s">
        <v>62</v>
      </c>
      <c r="B204" s="2" t="s">
        <v>981</v>
      </c>
      <c r="C204" s="2" t="s">
        <v>982</v>
      </c>
    </row>
    <row r="205" spans="1:3">
      <c r="A205" s="2" t="s">
        <v>62</v>
      </c>
      <c r="B205" s="2" t="s">
        <v>983</v>
      </c>
      <c r="C205" s="2" t="s">
        <v>984</v>
      </c>
    </row>
    <row r="206" spans="1:3">
      <c r="A206" s="2" t="s">
        <v>62</v>
      </c>
      <c r="B206" s="2" t="s">
        <v>985</v>
      </c>
      <c r="C206" s="2" t="s">
        <v>986</v>
      </c>
    </row>
    <row r="207" spans="1:3">
      <c r="A207" s="2" t="s">
        <v>62</v>
      </c>
      <c r="B207" s="2" t="s">
        <v>987</v>
      </c>
      <c r="C207" s="2" t="s">
        <v>988</v>
      </c>
    </row>
    <row r="208" spans="1:3">
      <c r="A208" s="2" t="s">
        <v>62</v>
      </c>
      <c r="B208" s="2" t="s">
        <v>62</v>
      </c>
      <c r="C208" s="2" t="s">
        <v>980</v>
      </c>
    </row>
    <row r="209" spans="1:3">
      <c r="A209" s="2" t="s">
        <v>62</v>
      </c>
      <c r="B209" s="2" t="s">
        <v>989</v>
      </c>
      <c r="C209" s="2" t="s">
        <v>990</v>
      </c>
    </row>
    <row r="210" spans="1:3">
      <c r="A210" s="2" t="s">
        <v>62</v>
      </c>
      <c r="B210" s="2" t="s">
        <v>856</v>
      </c>
      <c r="C210" s="2" t="s">
        <v>991</v>
      </c>
    </row>
    <row r="211" spans="1:3">
      <c r="A211" s="2" t="s">
        <v>62</v>
      </c>
      <c r="B211" s="2" t="s">
        <v>992</v>
      </c>
      <c r="C211" s="2" t="s">
        <v>993</v>
      </c>
    </row>
    <row r="212" spans="1:3">
      <c r="A212" s="2" t="s">
        <v>62</v>
      </c>
      <c r="B212" s="2" t="s">
        <v>63</v>
      </c>
      <c r="C212" s="2" t="s">
        <v>64</v>
      </c>
    </row>
    <row r="213" spans="1:3">
      <c r="A213" s="2" t="s">
        <v>62</v>
      </c>
      <c r="B213" s="2" t="s">
        <v>994</v>
      </c>
      <c r="C213" s="2" t="s">
        <v>995</v>
      </c>
    </row>
    <row r="214" spans="1:3">
      <c r="A214" s="2" t="s">
        <v>62</v>
      </c>
      <c r="B214" s="2" t="s">
        <v>996</v>
      </c>
      <c r="C214" s="2" t="s">
        <v>997</v>
      </c>
    </row>
    <row r="215" spans="1:3">
      <c r="A215" s="2" t="s">
        <v>62</v>
      </c>
      <c r="B215" s="2" t="s">
        <v>998</v>
      </c>
      <c r="C215" s="2" t="s">
        <v>999</v>
      </c>
    </row>
    <row r="216" spans="1:3">
      <c r="A216" s="2" t="s">
        <v>62</v>
      </c>
      <c r="B216" s="2" t="s">
        <v>1000</v>
      </c>
      <c r="C216" s="2" t="s">
        <v>1001</v>
      </c>
    </row>
    <row r="217" spans="1:3">
      <c r="A217" s="2" t="s">
        <v>62</v>
      </c>
      <c r="B217" s="2" t="s">
        <v>1002</v>
      </c>
      <c r="C217" s="2" t="s">
        <v>1003</v>
      </c>
    </row>
    <row r="218" spans="1:3">
      <c r="A218" s="2" t="s">
        <v>62</v>
      </c>
      <c r="B218" s="2" t="s">
        <v>785</v>
      </c>
      <c r="C218" s="2" t="s">
        <v>1004</v>
      </c>
    </row>
    <row r="219" spans="1:3">
      <c r="A219" s="2" t="s">
        <v>158</v>
      </c>
      <c r="B219" s="2" t="s">
        <v>1006</v>
      </c>
      <c r="C219" s="2" t="s">
        <v>1007</v>
      </c>
    </row>
    <row r="220" spans="1:3">
      <c r="A220" s="2" t="s">
        <v>158</v>
      </c>
      <c r="B220" s="2" t="s">
        <v>1008</v>
      </c>
      <c r="C220" s="2" t="s">
        <v>1009</v>
      </c>
    </row>
    <row r="221" spans="1:3">
      <c r="A221" s="2" t="s">
        <v>158</v>
      </c>
      <c r="B221" s="2" t="s">
        <v>1010</v>
      </c>
      <c r="C221" s="2" t="s">
        <v>1011</v>
      </c>
    </row>
    <row r="222" spans="1:3">
      <c r="A222" s="2" t="s">
        <v>158</v>
      </c>
      <c r="B222" s="2" t="s">
        <v>1012</v>
      </c>
      <c r="C222" s="2" t="s">
        <v>1013</v>
      </c>
    </row>
    <row r="223" spans="1:3">
      <c r="A223" s="2" t="s">
        <v>158</v>
      </c>
      <c r="B223" s="2" t="s">
        <v>1014</v>
      </c>
      <c r="C223" s="2" t="s">
        <v>1015</v>
      </c>
    </row>
    <row r="224" spans="1:3">
      <c r="A224" s="2" t="s">
        <v>158</v>
      </c>
      <c r="B224" s="2" t="s">
        <v>1016</v>
      </c>
      <c r="C224" s="2" t="s">
        <v>1017</v>
      </c>
    </row>
    <row r="225" spans="1:3">
      <c r="A225" s="2" t="s">
        <v>158</v>
      </c>
      <c r="B225" s="2" t="s">
        <v>1018</v>
      </c>
      <c r="C225" s="2" t="s">
        <v>1019</v>
      </c>
    </row>
    <row r="226" spans="1:3">
      <c r="A226" s="2" t="s">
        <v>158</v>
      </c>
      <c r="B226" s="2" t="s">
        <v>158</v>
      </c>
      <c r="C226" s="2" t="s">
        <v>1005</v>
      </c>
    </row>
    <row r="227" spans="1:3">
      <c r="A227" s="2" t="s">
        <v>158</v>
      </c>
      <c r="B227" s="2" t="s">
        <v>1020</v>
      </c>
      <c r="C227" s="2" t="s">
        <v>1021</v>
      </c>
    </row>
    <row r="228" spans="1:3">
      <c r="A228" s="2" t="s">
        <v>158</v>
      </c>
      <c r="B228" s="2" t="s">
        <v>1022</v>
      </c>
      <c r="C228" s="2" t="s">
        <v>1023</v>
      </c>
    </row>
    <row r="229" spans="1:3">
      <c r="A229" s="2" t="s">
        <v>158</v>
      </c>
      <c r="B229" s="2" t="s">
        <v>159</v>
      </c>
      <c r="C229" s="2" t="s">
        <v>160</v>
      </c>
    </row>
    <row r="230" spans="1:3">
      <c r="A230" s="2" t="s">
        <v>158</v>
      </c>
      <c r="B230" s="2" t="s">
        <v>1024</v>
      </c>
      <c r="C230" s="2" t="s">
        <v>1025</v>
      </c>
    </row>
    <row r="231" spans="1:3">
      <c r="A231" s="2" t="s">
        <v>158</v>
      </c>
      <c r="B231" s="2" t="s">
        <v>1026</v>
      </c>
      <c r="C231" s="2" t="s">
        <v>1027</v>
      </c>
    </row>
    <row r="232" spans="1:3">
      <c r="A232" s="2" t="s">
        <v>1028</v>
      </c>
      <c r="B232" s="2" t="s">
        <v>1030</v>
      </c>
      <c r="C232" s="2" t="s">
        <v>1031</v>
      </c>
    </row>
    <row r="233" spans="1:3">
      <c r="A233" s="2" t="s">
        <v>1028</v>
      </c>
      <c r="B233" s="2" t="s">
        <v>1032</v>
      </c>
      <c r="C233" s="2" t="s">
        <v>1033</v>
      </c>
    </row>
    <row r="234" spans="1:3">
      <c r="A234" s="2" t="s">
        <v>1028</v>
      </c>
      <c r="B234" s="2" t="s">
        <v>1034</v>
      </c>
      <c r="C234" s="2" t="s">
        <v>1035</v>
      </c>
    </row>
    <row r="235" spans="1:3">
      <c r="A235" s="2" t="s">
        <v>1028</v>
      </c>
      <c r="B235" s="2" t="s">
        <v>1036</v>
      </c>
      <c r="C235" s="2" t="s">
        <v>1037</v>
      </c>
    </row>
    <row r="236" spans="1:3">
      <c r="A236" s="2" t="s">
        <v>1028</v>
      </c>
      <c r="B236" s="2" t="s">
        <v>1038</v>
      </c>
      <c r="C236" s="2" t="s">
        <v>1039</v>
      </c>
    </row>
    <row r="237" spans="1:3">
      <c r="A237" s="2" t="s">
        <v>1028</v>
      </c>
      <c r="B237" s="2" t="s">
        <v>1028</v>
      </c>
      <c r="C237" s="2" t="s">
        <v>1029</v>
      </c>
    </row>
    <row r="238" spans="1:3">
      <c r="A238" s="2" t="s">
        <v>1028</v>
      </c>
      <c r="B238" s="2" t="s">
        <v>1040</v>
      </c>
      <c r="C238" s="2" t="s">
        <v>1041</v>
      </c>
    </row>
    <row r="239" spans="1:3">
      <c r="A239" s="2" t="s">
        <v>1028</v>
      </c>
      <c r="B239" s="2" t="s">
        <v>1042</v>
      </c>
      <c r="C239" s="2" t="s">
        <v>1043</v>
      </c>
    </row>
    <row r="240" spans="1:3">
      <c r="A240" s="2" t="s">
        <v>1028</v>
      </c>
      <c r="B240" s="2" t="s">
        <v>1044</v>
      </c>
      <c r="C240" s="2" t="s">
        <v>1045</v>
      </c>
    </row>
    <row r="241" spans="1:3">
      <c r="A241" s="2" t="s">
        <v>1028</v>
      </c>
      <c r="B241" s="2" t="s">
        <v>1046</v>
      </c>
      <c r="C241" s="2" t="s">
        <v>1047</v>
      </c>
    </row>
    <row r="242" spans="1:3">
      <c r="A242" s="2" t="s">
        <v>1028</v>
      </c>
      <c r="B242" s="2" t="s">
        <v>1048</v>
      </c>
      <c r="C242" s="2" t="s">
        <v>1049</v>
      </c>
    </row>
    <row r="243" spans="1:3">
      <c r="A243" s="2" t="s">
        <v>1028</v>
      </c>
      <c r="B243" s="2" t="s">
        <v>1050</v>
      </c>
      <c r="C243" s="2" t="s">
        <v>1051</v>
      </c>
    </row>
    <row r="244" spans="1:3">
      <c r="A244" s="2" t="s">
        <v>1028</v>
      </c>
      <c r="B244" s="2" t="s">
        <v>1052</v>
      </c>
      <c r="C244" s="2" t="s">
        <v>1053</v>
      </c>
    </row>
    <row r="245" spans="1:3">
      <c r="A245" s="2" t="s">
        <v>400</v>
      </c>
      <c r="B245" s="2" t="s">
        <v>1054</v>
      </c>
      <c r="C245" s="2" t="s">
        <v>1055</v>
      </c>
    </row>
    <row r="246" spans="1:3">
      <c r="A246" s="2" t="s">
        <v>400</v>
      </c>
      <c r="B246" s="2" t="s">
        <v>1056</v>
      </c>
      <c r="C246" s="2" t="s">
        <v>1057</v>
      </c>
    </row>
    <row r="247" spans="1:3">
      <c r="A247" s="2" t="s">
        <v>400</v>
      </c>
      <c r="B247" s="2" t="s">
        <v>400</v>
      </c>
      <c r="C247" s="2" t="s">
        <v>401</v>
      </c>
    </row>
    <row r="248" spans="1:3">
      <c r="A248" s="2" t="s">
        <v>400</v>
      </c>
      <c r="B248" s="2" t="s">
        <v>1058</v>
      </c>
      <c r="C248" s="2" t="s">
        <v>1059</v>
      </c>
    </row>
    <row r="249" spans="1:3">
      <c r="A249" s="2" t="s">
        <v>400</v>
      </c>
      <c r="B249" s="2" t="s">
        <v>1060</v>
      </c>
      <c r="C249" s="2" t="s">
        <v>1061</v>
      </c>
    </row>
    <row r="250" spans="1:3">
      <c r="A250" s="2" t="s">
        <v>400</v>
      </c>
      <c r="B250" s="2" t="s">
        <v>1062</v>
      </c>
      <c r="C250" s="2" t="s">
        <v>1063</v>
      </c>
    </row>
    <row r="251" spans="1:3">
      <c r="A251" s="2" t="s">
        <v>400</v>
      </c>
      <c r="B251" s="2" t="s">
        <v>1064</v>
      </c>
      <c r="C251" s="2" t="s">
        <v>1065</v>
      </c>
    </row>
    <row r="252" spans="1:3">
      <c r="A252" s="2" t="s">
        <v>400</v>
      </c>
      <c r="B252" s="2" t="s">
        <v>1066</v>
      </c>
      <c r="C252" s="2" t="s">
        <v>1067</v>
      </c>
    </row>
    <row r="253" spans="1:3">
      <c r="A253" s="2" t="s">
        <v>400</v>
      </c>
      <c r="B253" s="2" t="s">
        <v>1068</v>
      </c>
      <c r="C253" s="2" t="s">
        <v>1069</v>
      </c>
    </row>
    <row r="254" spans="1:3">
      <c r="A254" s="2" t="s">
        <v>262</v>
      </c>
      <c r="B254" s="2" t="s">
        <v>1071</v>
      </c>
      <c r="C254" s="2" t="s">
        <v>1072</v>
      </c>
    </row>
    <row r="255" spans="1:3">
      <c r="A255" s="2" t="s">
        <v>262</v>
      </c>
      <c r="B255" s="2" t="s">
        <v>325</v>
      </c>
      <c r="C255" s="2" t="s">
        <v>326</v>
      </c>
    </row>
    <row r="256" spans="1:3">
      <c r="A256" s="2" t="s">
        <v>262</v>
      </c>
      <c r="B256" s="2" t="s">
        <v>1073</v>
      </c>
      <c r="C256" s="2" t="s">
        <v>1074</v>
      </c>
    </row>
    <row r="257" spans="1:3">
      <c r="A257" s="2" t="s">
        <v>262</v>
      </c>
      <c r="B257" s="2" t="s">
        <v>1075</v>
      </c>
      <c r="C257" s="2" t="s">
        <v>1076</v>
      </c>
    </row>
    <row r="258" spans="1:3">
      <c r="A258" s="2" t="s">
        <v>262</v>
      </c>
      <c r="B258" s="2" t="s">
        <v>262</v>
      </c>
      <c r="C258" s="2" t="s">
        <v>1070</v>
      </c>
    </row>
    <row r="259" spans="1:3">
      <c r="A259" s="2" t="s">
        <v>262</v>
      </c>
      <c r="B259" s="2" t="s">
        <v>1077</v>
      </c>
      <c r="C259" s="2" t="s">
        <v>1078</v>
      </c>
    </row>
    <row r="260" spans="1:3">
      <c r="A260" s="2" t="s">
        <v>262</v>
      </c>
      <c r="B260" s="2" t="s">
        <v>1079</v>
      </c>
      <c r="C260" s="2" t="s">
        <v>1080</v>
      </c>
    </row>
    <row r="261" spans="1:3">
      <c r="A261" s="2" t="s">
        <v>262</v>
      </c>
      <c r="B261" s="2" t="s">
        <v>1081</v>
      </c>
      <c r="C261" s="2" t="s">
        <v>1082</v>
      </c>
    </row>
    <row r="262" spans="1:3">
      <c r="A262" s="2" t="s">
        <v>262</v>
      </c>
      <c r="B262" s="2" t="s">
        <v>263</v>
      </c>
      <c r="C262" s="2" t="s">
        <v>264</v>
      </c>
    </row>
    <row r="263" spans="1:3">
      <c r="A263" s="2" t="s">
        <v>262</v>
      </c>
      <c r="B263" s="2" t="s">
        <v>1083</v>
      </c>
      <c r="C263" s="2" t="s">
        <v>1084</v>
      </c>
    </row>
    <row r="264" spans="1:3">
      <c r="A264" s="2" t="s">
        <v>262</v>
      </c>
      <c r="B264" s="2" t="s">
        <v>1085</v>
      </c>
      <c r="C264" s="2" t="s">
        <v>1086</v>
      </c>
    </row>
    <row r="265" spans="1:3">
      <c r="A265" s="2" t="s">
        <v>262</v>
      </c>
      <c r="B265" s="2" t="s">
        <v>1087</v>
      </c>
      <c r="C265" s="2" t="s">
        <v>1088</v>
      </c>
    </row>
    <row r="266" spans="1:3">
      <c r="A266" s="2" t="s">
        <v>262</v>
      </c>
      <c r="B266" s="2" t="s">
        <v>1089</v>
      </c>
      <c r="C266" s="2" t="s">
        <v>1090</v>
      </c>
    </row>
    <row r="267" spans="1:3">
      <c r="A267" s="2" t="s">
        <v>262</v>
      </c>
      <c r="B267" s="2" t="s">
        <v>1091</v>
      </c>
      <c r="C267" s="2" t="s">
        <v>1092</v>
      </c>
    </row>
    <row r="268" spans="1:3">
      <c r="A268" s="2" t="s">
        <v>379</v>
      </c>
      <c r="B268" s="2" t="s">
        <v>1094</v>
      </c>
      <c r="C268" s="2" t="s">
        <v>1095</v>
      </c>
    </row>
    <row r="269" spans="1:3">
      <c r="A269" s="2" t="s">
        <v>379</v>
      </c>
      <c r="B269" s="2" t="s">
        <v>380</v>
      </c>
      <c r="C269" s="2" t="s">
        <v>381</v>
      </c>
    </row>
    <row r="270" spans="1:3">
      <c r="A270" s="2" t="s">
        <v>379</v>
      </c>
      <c r="B270" s="2" t="s">
        <v>1096</v>
      </c>
      <c r="C270" s="2" t="s">
        <v>1097</v>
      </c>
    </row>
    <row r="271" spans="1:3">
      <c r="A271" s="2" t="s">
        <v>379</v>
      </c>
      <c r="B271" s="2" t="s">
        <v>1098</v>
      </c>
      <c r="C271" s="2" t="s">
        <v>1099</v>
      </c>
    </row>
    <row r="272" spans="1:3">
      <c r="A272" s="2" t="s">
        <v>379</v>
      </c>
      <c r="B272" s="2" t="s">
        <v>1100</v>
      </c>
      <c r="C272" s="2" t="s">
        <v>1101</v>
      </c>
    </row>
    <row r="273" spans="1:3">
      <c r="A273" s="2" t="s">
        <v>379</v>
      </c>
      <c r="B273" s="2" t="s">
        <v>1102</v>
      </c>
      <c r="C273" s="2" t="s">
        <v>1103</v>
      </c>
    </row>
    <row r="274" spans="1:3">
      <c r="A274" s="2" t="s">
        <v>379</v>
      </c>
      <c r="B274" s="2" t="s">
        <v>379</v>
      </c>
      <c r="C274" s="2" t="s">
        <v>1093</v>
      </c>
    </row>
    <row r="275" spans="1:3">
      <c r="A275" s="2" t="s">
        <v>379</v>
      </c>
      <c r="B275" s="2" t="s">
        <v>1104</v>
      </c>
      <c r="C275" s="2" t="s">
        <v>1105</v>
      </c>
    </row>
    <row r="276" spans="1:3">
      <c r="A276" s="2" t="s">
        <v>379</v>
      </c>
      <c r="B276" s="2" t="s">
        <v>1106</v>
      </c>
      <c r="C276" s="2" t="s">
        <v>1107</v>
      </c>
    </row>
    <row r="277" spans="1:3">
      <c r="A277" s="2" t="s">
        <v>379</v>
      </c>
      <c r="B277" s="2" t="s">
        <v>1108</v>
      </c>
      <c r="C277" s="2" t="s">
        <v>1109</v>
      </c>
    </row>
    <row r="278" spans="1:3">
      <c r="A278" s="2" t="s">
        <v>379</v>
      </c>
      <c r="B278" s="2" t="s">
        <v>1110</v>
      </c>
      <c r="C278" s="2" t="s">
        <v>1111</v>
      </c>
    </row>
    <row r="279" spans="1:3">
      <c r="A279" s="2" t="s">
        <v>379</v>
      </c>
      <c r="B279" s="2" t="s">
        <v>1112</v>
      </c>
      <c r="C279" s="2" t="s">
        <v>1113</v>
      </c>
    </row>
    <row r="280" spans="1:3">
      <c r="A280" s="2" t="s">
        <v>379</v>
      </c>
      <c r="B280" s="2" t="s">
        <v>1114</v>
      </c>
      <c r="C280" s="2" t="s">
        <v>1115</v>
      </c>
    </row>
    <row r="281" spans="1:3">
      <c r="A281" s="2" t="s">
        <v>379</v>
      </c>
      <c r="B281" s="2" t="s">
        <v>1116</v>
      </c>
      <c r="C281" s="2" t="s">
        <v>1117</v>
      </c>
    </row>
    <row r="282" spans="1:3">
      <c r="A282" s="2" t="s">
        <v>379</v>
      </c>
      <c r="B282" s="2" t="s">
        <v>1118</v>
      </c>
      <c r="C282" s="2" t="s">
        <v>1119</v>
      </c>
    </row>
    <row r="283" spans="1:3">
      <c r="A283" s="2" t="s">
        <v>379</v>
      </c>
      <c r="B283" s="2" t="s">
        <v>1120</v>
      </c>
      <c r="C283" s="2" t="s">
        <v>1121</v>
      </c>
    </row>
    <row r="284" spans="1:3">
      <c r="A284" s="2" t="s">
        <v>1122</v>
      </c>
      <c r="B284" s="2" t="s">
        <v>1124</v>
      </c>
      <c r="C284" s="2" t="s">
        <v>1125</v>
      </c>
    </row>
    <row r="285" spans="1:3">
      <c r="A285" s="2" t="s">
        <v>1122</v>
      </c>
      <c r="B285" s="2" t="s">
        <v>1126</v>
      </c>
      <c r="C285" s="2" t="s">
        <v>1127</v>
      </c>
    </row>
    <row r="286" spans="1:3">
      <c r="A286" s="2" t="s">
        <v>1122</v>
      </c>
      <c r="B286" s="2" t="s">
        <v>1128</v>
      </c>
      <c r="C286" s="2" t="s">
        <v>1129</v>
      </c>
    </row>
    <row r="287" spans="1:3">
      <c r="A287" s="2" t="s">
        <v>1122</v>
      </c>
      <c r="B287" s="2" t="s">
        <v>1130</v>
      </c>
      <c r="C287" s="2" t="s">
        <v>1131</v>
      </c>
    </row>
    <row r="288" spans="1:3">
      <c r="A288" s="2" t="s">
        <v>1122</v>
      </c>
      <c r="B288" s="2" t="s">
        <v>1132</v>
      </c>
      <c r="C288" s="2" t="s">
        <v>1133</v>
      </c>
    </row>
    <row r="289" spans="1:3">
      <c r="A289" s="2" t="s">
        <v>1122</v>
      </c>
      <c r="B289" s="2" t="s">
        <v>1134</v>
      </c>
      <c r="C289" s="2" t="s">
        <v>1135</v>
      </c>
    </row>
    <row r="290" spans="1:3">
      <c r="A290" s="2" t="s">
        <v>1122</v>
      </c>
      <c r="B290" s="2" t="s">
        <v>1122</v>
      </c>
      <c r="C290" s="2" t="s">
        <v>1123</v>
      </c>
    </row>
    <row r="291" spans="1:3">
      <c r="A291" s="2" t="s">
        <v>1122</v>
      </c>
      <c r="B291" s="2" t="s">
        <v>1136</v>
      </c>
      <c r="C291" s="2" t="s">
        <v>1137</v>
      </c>
    </row>
    <row r="292" spans="1:3">
      <c r="A292" s="2" t="s">
        <v>245</v>
      </c>
      <c r="B292" s="2" t="s">
        <v>1138</v>
      </c>
      <c r="C292" s="2" t="s">
        <v>1139</v>
      </c>
    </row>
    <row r="293" spans="1:3">
      <c r="A293" s="2" t="s">
        <v>245</v>
      </c>
      <c r="B293" s="2" t="s">
        <v>1140</v>
      </c>
      <c r="C293" s="2" t="s">
        <v>1141</v>
      </c>
    </row>
    <row r="294" spans="1:3">
      <c r="A294" s="2" t="s">
        <v>245</v>
      </c>
      <c r="B294" s="2" t="s">
        <v>1142</v>
      </c>
      <c r="C294" s="2" t="s">
        <v>1143</v>
      </c>
    </row>
    <row r="295" spans="1:3">
      <c r="A295" s="2" t="s">
        <v>245</v>
      </c>
      <c r="B295" s="2" t="s">
        <v>1144</v>
      </c>
      <c r="C295" s="2" t="s">
        <v>1145</v>
      </c>
    </row>
    <row r="296" spans="1:3">
      <c r="A296" s="2" t="s">
        <v>245</v>
      </c>
      <c r="B296" s="2" t="s">
        <v>1146</v>
      </c>
      <c r="C296" s="2" t="s">
        <v>1147</v>
      </c>
    </row>
    <row r="297" spans="1:3">
      <c r="A297" s="2" t="s">
        <v>245</v>
      </c>
      <c r="B297" s="2" t="s">
        <v>1148</v>
      </c>
      <c r="C297" s="2" t="s">
        <v>1149</v>
      </c>
    </row>
    <row r="298" spans="1:3">
      <c r="A298" s="2" t="s">
        <v>245</v>
      </c>
      <c r="B298" s="2" t="s">
        <v>245</v>
      </c>
      <c r="C298" s="2" t="s">
        <v>246</v>
      </c>
    </row>
    <row r="299" spans="1:3">
      <c r="A299" s="2" t="s">
        <v>245</v>
      </c>
      <c r="B299" s="2" t="s">
        <v>1150</v>
      </c>
      <c r="C299" s="2" t="s">
        <v>1151</v>
      </c>
    </row>
    <row r="300" spans="1:3">
      <c r="A300" s="2" t="s">
        <v>1152</v>
      </c>
      <c r="B300" s="2" t="s">
        <v>1154</v>
      </c>
      <c r="C300" s="2" t="s">
        <v>1155</v>
      </c>
    </row>
    <row r="301" spans="1:3">
      <c r="A301" s="2" t="s">
        <v>1152</v>
      </c>
      <c r="B301" s="2" t="s">
        <v>1156</v>
      </c>
      <c r="C301" s="2" t="s">
        <v>1157</v>
      </c>
    </row>
    <row r="302" spans="1:3">
      <c r="A302" s="2" t="s">
        <v>1152</v>
      </c>
      <c r="B302" s="2" t="s">
        <v>1158</v>
      </c>
      <c r="C302" s="2" t="s">
        <v>1159</v>
      </c>
    </row>
    <row r="303" spans="1:3">
      <c r="A303" s="2" t="s">
        <v>1152</v>
      </c>
      <c r="B303" s="2" t="s">
        <v>1160</v>
      </c>
      <c r="C303" s="2" t="s">
        <v>1161</v>
      </c>
    </row>
    <row r="304" spans="1:3">
      <c r="A304" s="2" t="s">
        <v>1152</v>
      </c>
      <c r="B304" s="2" t="s">
        <v>1162</v>
      </c>
      <c r="C304" s="2" t="s">
        <v>1163</v>
      </c>
    </row>
    <row r="305" spans="1:3">
      <c r="A305" s="2" t="s">
        <v>1152</v>
      </c>
      <c r="B305" s="2" t="s">
        <v>1152</v>
      </c>
      <c r="C305" s="2" t="s">
        <v>1153</v>
      </c>
    </row>
    <row r="306" spans="1:3">
      <c r="A306" s="2" t="s">
        <v>1152</v>
      </c>
      <c r="B306" s="2" t="s">
        <v>1164</v>
      </c>
      <c r="C306" s="2" t="s">
        <v>1165</v>
      </c>
    </row>
    <row r="307" spans="1:3">
      <c r="A307" s="2" t="s">
        <v>77</v>
      </c>
      <c r="B307" s="2" t="s">
        <v>962</v>
      </c>
      <c r="C307" s="2" t="s">
        <v>1166</v>
      </c>
    </row>
    <row r="308" spans="1:3">
      <c r="A308" s="2" t="s">
        <v>77</v>
      </c>
      <c r="B308" s="2" t="s">
        <v>1167</v>
      </c>
      <c r="C308" s="2" t="s">
        <v>1168</v>
      </c>
    </row>
    <row r="309" spans="1:3">
      <c r="A309" s="2" t="s">
        <v>77</v>
      </c>
      <c r="B309" s="2" t="s">
        <v>1169</v>
      </c>
      <c r="C309" s="2" t="s">
        <v>1170</v>
      </c>
    </row>
    <row r="310" spans="1:3">
      <c r="A310" s="2" t="s">
        <v>77</v>
      </c>
      <c r="B310" s="2" t="s">
        <v>1171</v>
      </c>
      <c r="C310" s="2" t="s">
        <v>1172</v>
      </c>
    </row>
    <row r="311" spans="1:3">
      <c r="A311" s="2" t="s">
        <v>77</v>
      </c>
      <c r="B311" s="2" t="s">
        <v>1173</v>
      </c>
      <c r="C311" s="2" t="s">
        <v>1174</v>
      </c>
    </row>
    <row r="312" spans="1:3">
      <c r="A312" s="2" t="s">
        <v>77</v>
      </c>
      <c r="B312" s="2" t="s">
        <v>386</v>
      </c>
      <c r="C312" s="2" t="s">
        <v>387</v>
      </c>
    </row>
    <row r="313" spans="1:3">
      <c r="A313" s="2" t="s">
        <v>77</v>
      </c>
      <c r="B313" s="2" t="s">
        <v>1175</v>
      </c>
      <c r="C313" s="2" t="s">
        <v>1176</v>
      </c>
    </row>
    <row r="314" spans="1:3">
      <c r="A314" s="2" t="s">
        <v>77</v>
      </c>
      <c r="B314" s="2" t="s">
        <v>1177</v>
      </c>
      <c r="C314" s="2" t="s">
        <v>1178</v>
      </c>
    </row>
    <row r="315" spans="1:3">
      <c r="A315" s="2" t="s">
        <v>77</v>
      </c>
      <c r="B315" s="2" t="s">
        <v>1179</v>
      </c>
      <c r="C315" s="2" t="s">
        <v>1180</v>
      </c>
    </row>
    <row r="316" spans="1:3">
      <c r="A316" s="2" t="s">
        <v>77</v>
      </c>
      <c r="B316" s="2" t="s">
        <v>1181</v>
      </c>
      <c r="C316" s="2" t="s">
        <v>1182</v>
      </c>
    </row>
    <row r="317" spans="1:3">
      <c r="A317" s="2" t="s">
        <v>77</v>
      </c>
      <c r="B317" s="2" t="s">
        <v>1183</v>
      </c>
      <c r="C317" s="2" t="s">
        <v>1184</v>
      </c>
    </row>
    <row r="318" spans="1:3">
      <c r="A318" s="2" t="s">
        <v>77</v>
      </c>
      <c r="B318" s="2" t="s">
        <v>77</v>
      </c>
      <c r="C318" s="2" t="s">
        <v>78</v>
      </c>
    </row>
    <row r="319" spans="1:3">
      <c r="A319" s="2" t="s">
        <v>1185</v>
      </c>
      <c r="B319" s="2" t="s">
        <v>1187</v>
      </c>
      <c r="C319" s="2" t="s">
        <v>1188</v>
      </c>
    </row>
    <row r="320" spans="1:3">
      <c r="A320" s="2" t="s">
        <v>1185</v>
      </c>
      <c r="B320" s="2" t="s">
        <v>1189</v>
      </c>
      <c r="C320" s="2" t="s">
        <v>1190</v>
      </c>
    </row>
    <row r="321" spans="1:3">
      <c r="A321" s="2" t="s">
        <v>1185</v>
      </c>
      <c r="B321" s="2" t="s">
        <v>1191</v>
      </c>
      <c r="C321" s="2" t="s">
        <v>1192</v>
      </c>
    </row>
    <row r="322" spans="1:3">
      <c r="A322" s="2" t="s">
        <v>1185</v>
      </c>
      <c r="B322" s="2" t="s">
        <v>1193</v>
      </c>
      <c r="C322" s="2" t="s">
        <v>1194</v>
      </c>
    </row>
    <row r="323" spans="1:3">
      <c r="A323" s="2" t="s">
        <v>1185</v>
      </c>
      <c r="B323" s="2" t="s">
        <v>658</v>
      </c>
      <c r="C323" s="2" t="s">
        <v>1195</v>
      </c>
    </row>
    <row r="324" spans="1:3">
      <c r="A324" s="2" t="s">
        <v>1185</v>
      </c>
      <c r="B324" s="2" t="s">
        <v>1196</v>
      </c>
      <c r="C324" s="2" t="s">
        <v>1197</v>
      </c>
    </row>
    <row r="325" spans="1:3">
      <c r="A325" s="2" t="s">
        <v>1185</v>
      </c>
      <c r="B325" s="2" t="s">
        <v>1198</v>
      </c>
      <c r="C325" s="2" t="s">
        <v>1199</v>
      </c>
    </row>
    <row r="326" spans="1:3">
      <c r="A326" s="2" t="s">
        <v>1185</v>
      </c>
      <c r="B326" s="2" t="s">
        <v>1200</v>
      </c>
      <c r="C326" s="2" t="s">
        <v>1201</v>
      </c>
    </row>
    <row r="327" spans="1:3">
      <c r="A327" s="2" t="s">
        <v>1185</v>
      </c>
      <c r="B327" s="2" t="s">
        <v>1202</v>
      </c>
      <c r="C327" s="2" t="s">
        <v>1203</v>
      </c>
    </row>
    <row r="328" spans="1:3">
      <c r="A328" s="2" t="s">
        <v>1185</v>
      </c>
      <c r="B328" s="2" t="s">
        <v>1204</v>
      </c>
      <c r="C328" s="2" t="s">
        <v>1205</v>
      </c>
    </row>
    <row r="329" spans="1:3">
      <c r="A329" s="2" t="s">
        <v>1185</v>
      </c>
      <c r="B329" s="2" t="s">
        <v>1206</v>
      </c>
      <c r="C329" s="2" t="s">
        <v>1207</v>
      </c>
    </row>
    <row r="330" spans="1:3">
      <c r="A330" s="2" t="s">
        <v>1185</v>
      </c>
      <c r="B330" s="2" t="s">
        <v>1208</v>
      </c>
      <c r="C330" s="2" t="s">
        <v>1209</v>
      </c>
    </row>
    <row r="331" spans="1:3">
      <c r="A331" s="2" t="s">
        <v>1185</v>
      </c>
      <c r="B331" s="2" t="s">
        <v>1185</v>
      </c>
      <c r="C331" s="2" t="s">
        <v>1186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modInfo">
    <tabColor indexed="47"/>
  </sheetPr>
  <dimension ref="A2:B6"/>
  <sheetViews>
    <sheetView workbookViewId="0"/>
  </sheetViews>
  <sheetFormatPr defaultRowHeight="11.25"/>
  <cols>
    <col min="1" max="1" width="9.140625" style="72"/>
    <col min="2" max="2" width="100.7109375" style="70" customWidth="1"/>
    <col min="3" max="16384" width="9.140625" style="70"/>
  </cols>
  <sheetData>
    <row r="2" spans="2:2" ht="157.5">
      <c r="B2" s="69" t="s">
        <v>27</v>
      </c>
    </row>
    <row r="3" spans="2:2" ht="12.75">
      <c r="B3" s="263" t="s">
        <v>1772</v>
      </c>
    </row>
    <row r="4" spans="2:2">
      <c r="B4" s="71"/>
    </row>
    <row r="5" spans="2:2">
      <c r="B5" s="71"/>
    </row>
    <row r="6" spans="2:2">
      <c r="B6" s="71"/>
    </row>
  </sheetData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modVLDProv">
    <tabColor indexed="47"/>
  </sheetPr>
  <dimension ref="A315:C3912"/>
  <sheetViews>
    <sheetView workbookViewId="0"/>
  </sheetViews>
  <sheetFormatPr defaultRowHeight="11.25"/>
  <cols>
    <col min="1" max="1" width="9.140625" style="17"/>
    <col min="2" max="16384" width="9.140625" style="18"/>
  </cols>
  <sheetData>
    <row r="315" spans="3:3" ht="168.75">
      <c r="C315" s="66" t="s">
        <v>1675</v>
      </c>
    </row>
    <row r="715" spans="3:3" ht="168.75">
      <c r="C715" s="66" t="s">
        <v>1675</v>
      </c>
    </row>
    <row r="1115" spans="3:3" ht="168.75">
      <c r="C1115" s="66" t="s">
        <v>1675</v>
      </c>
    </row>
    <row r="1512" spans="3:3" ht="168.75">
      <c r="C1512" s="66" t="s">
        <v>1675</v>
      </c>
    </row>
    <row r="1912" spans="3:3" ht="168.75">
      <c r="C1912" s="66" t="s">
        <v>1675</v>
      </c>
    </row>
    <row r="2312" spans="3:3" ht="168.75">
      <c r="C2312" s="66" t="s">
        <v>1675</v>
      </c>
    </row>
    <row r="3912" spans="3:3" ht="168.75">
      <c r="C3912" s="66" t="s">
        <v>1675</v>
      </c>
    </row>
  </sheetData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modVLDCommonProv">
    <tabColor indexed="47"/>
  </sheetPr>
  <dimension ref="A315:C3912"/>
  <sheetViews>
    <sheetView workbookViewId="0"/>
  </sheetViews>
  <sheetFormatPr defaultRowHeight="11.25"/>
  <cols>
    <col min="1" max="1" width="9.140625" style="17"/>
    <col min="2" max="16384" width="9.140625" style="18"/>
  </cols>
  <sheetData>
    <row r="315" spans="3:3" ht="168.75">
      <c r="C315" s="66" t="s">
        <v>1675</v>
      </c>
    </row>
    <row r="715" spans="3:3" ht="168.75">
      <c r="C715" s="66" t="s">
        <v>1675</v>
      </c>
    </row>
    <row r="1115" spans="3:3" ht="168.75">
      <c r="C1115" s="66" t="s">
        <v>1675</v>
      </c>
    </row>
    <row r="1512" spans="3:3" ht="168.75">
      <c r="C1512" s="66" t="s">
        <v>1675</v>
      </c>
    </row>
    <row r="1912" spans="3:3" ht="168.75">
      <c r="C1912" s="66" t="s">
        <v>1675</v>
      </c>
    </row>
    <row r="2312" spans="3:3" ht="168.75">
      <c r="C2312" s="66" t="s">
        <v>1675</v>
      </c>
    </row>
    <row r="3912" spans="3:3" ht="168.75">
      <c r="C3912" s="66" t="s">
        <v>1675</v>
      </c>
    </row>
  </sheetData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modVLDProvGeneralProc">
    <tabColor indexed="47"/>
  </sheetPr>
  <dimension ref="A1"/>
  <sheetViews>
    <sheetView workbookViewId="0"/>
  </sheetViews>
  <sheetFormatPr defaultRowHeight="12.75"/>
  <cols>
    <col min="1" max="16384" width="9.140625" style="80"/>
  </cols>
  <sheetData/>
  <phoneticPr fontId="0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modLoad_Svod">
    <tabColor indexed="47"/>
  </sheetPr>
  <dimension ref="A1"/>
  <sheetViews>
    <sheetView workbookViewId="0"/>
  </sheetViews>
  <sheetFormatPr defaultRowHeight="11.25"/>
  <cols>
    <col min="1" max="16384" width="9.140625" style="16"/>
  </cols>
  <sheetData/>
  <sheetProtection formatColumns="0" formatRows="0"/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modUpdTemplLogger">
    <tabColor indexed="24"/>
  </sheetPr>
  <dimension ref="A2:E2"/>
  <sheetViews>
    <sheetView showGridLines="0" topLeftCell="B1" workbookViewId="0"/>
  </sheetViews>
  <sheetFormatPr defaultColWidth="10.28515625" defaultRowHeight="11.25"/>
  <cols>
    <col min="1" max="1" width="4.85546875" style="24" hidden="1" customWidth="1"/>
    <col min="2" max="2" width="34.42578125" style="27" customWidth="1"/>
    <col min="3" max="3" width="90.7109375" style="25" customWidth="1"/>
    <col min="4" max="4" width="29.85546875" style="28" customWidth="1"/>
    <col min="5" max="16384" width="10.28515625" style="24"/>
  </cols>
  <sheetData>
    <row r="2" spans="1:5" ht="24" customHeight="1">
      <c r="A2" s="24" t="s">
        <v>1648</v>
      </c>
      <c r="B2" s="260" t="s">
        <v>1643</v>
      </c>
      <c r="C2" s="261" t="s">
        <v>1644</v>
      </c>
      <c r="D2" s="262" t="s">
        <v>1642</v>
      </c>
      <c r="E2" s="23"/>
    </row>
  </sheetData>
  <sheetProtection password="FA9C" sheet="1" objects="1" scenarios="1" formatColumns="0" formatRows="0"/>
  <phoneticPr fontId="3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2">
    <tabColor indexed="47"/>
  </sheetPr>
  <dimension ref="B1"/>
  <sheetViews>
    <sheetView workbookViewId="0"/>
  </sheetViews>
  <sheetFormatPr defaultRowHeight="11.25"/>
  <cols>
    <col min="1" max="1" width="40.7109375" customWidth="1"/>
  </cols>
  <sheetData>
    <row r="1" spans="2:2">
      <c r="B1" t="s">
        <v>1530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modOpen">
    <tabColor indexed="47"/>
  </sheetPr>
  <dimension ref="A1"/>
  <sheetViews>
    <sheetView workbookViewId="0"/>
  </sheetViews>
  <sheetFormatPr defaultRowHeight="11.25"/>
  <cols>
    <col min="1" max="16384" width="9.140625" style="16"/>
  </cols>
  <sheetData/>
  <sheetProtection formatColumns="0" formatRows="0"/>
  <phoneticPr fontId="8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modfrmRegion">
    <tabColor indexed="47"/>
  </sheetPr>
  <dimension ref="A1"/>
  <sheetViews>
    <sheetView workbookViewId="0"/>
  </sheetViews>
  <sheetFormatPr defaultRowHeight="11.25"/>
  <cols>
    <col min="1" max="1" width="9.140625" style="17"/>
    <col min="2" max="16384" width="9.140625" style="18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modfrmReestr">
    <tabColor indexed="47"/>
  </sheetPr>
  <dimension ref="A1"/>
  <sheetViews>
    <sheetView workbookViewId="0"/>
  </sheetViews>
  <sheetFormatPr defaultRowHeight="11.25"/>
  <cols>
    <col min="1" max="1" width="9.140625" style="17"/>
    <col min="2" max="16384" width="9.140625" style="18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codeName="modReestr">
    <tabColor indexed="47"/>
  </sheetPr>
  <dimension ref="A1"/>
  <sheetViews>
    <sheetView workbookViewId="0"/>
  </sheetViews>
  <sheetFormatPr defaultRowHeight="11.25"/>
  <cols>
    <col min="1" max="1" width="9.140625" style="17"/>
    <col min="2" max="16384" width="9.140625" style="18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codeName="modDataRegion">
    <tabColor indexed="47"/>
  </sheetPr>
  <dimension ref="A1"/>
  <sheetViews>
    <sheetView workbookViewId="0"/>
  </sheetViews>
  <sheetFormatPr defaultRowHeight="11.25"/>
  <sheetData/>
  <sheetProtection formatColumns="0" formatRows="0"/>
  <phoneticPr fontId="8" type="noConversion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modCommandButton">
    <tabColor indexed="47"/>
  </sheetPr>
  <dimension ref="A1"/>
  <sheetViews>
    <sheetView workbookViewId="0"/>
  </sheetViews>
  <sheetFormatPr defaultRowHeight="11.25"/>
  <sheetData/>
  <sheetProtection formatColumns="0" formatRows="0"/>
  <phoneticPr fontId="8" type="noConversion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modData_TOPL_QX">
    <tabColor indexed="47"/>
  </sheetPr>
  <dimension ref="A1"/>
  <sheetViews>
    <sheetView workbookViewId="0"/>
  </sheetViews>
  <sheetFormatPr defaultRowHeight="11.25"/>
  <sheetData/>
  <sheetProtection formatColumns="0" formatRows="0"/>
  <phoneticPr fontId="8" type="noConversion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PLAN1X_AUTHORISATION">
    <tabColor indexed="47"/>
  </sheetPr>
  <dimension ref="A1:A2"/>
  <sheetViews>
    <sheetView workbookViewId="0"/>
  </sheetViews>
  <sheetFormatPr defaultRowHeight="11.25"/>
  <cols>
    <col min="1" max="16384" width="9.140625" style="65"/>
  </cols>
  <sheetData>
    <row r="1" spans="1:1">
      <c r="A1" s="65" t="s">
        <v>1507</v>
      </c>
    </row>
    <row r="2" spans="1:1">
      <c r="A2" s="65" t="s">
        <v>35</v>
      </c>
    </row>
  </sheetData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 codeName="modUpdTemplMain">
    <tabColor indexed="47"/>
  </sheetPr>
  <dimension ref="AA1:AJ1"/>
  <sheetViews>
    <sheetView workbookViewId="0"/>
  </sheetViews>
  <sheetFormatPr defaultRowHeight="11.25"/>
  <cols>
    <col min="1" max="26" width="9.140625" style="24"/>
    <col min="27" max="36" width="9.140625" style="26"/>
    <col min="37" max="16384" width="9.140625" style="24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CONTACTS"/>
  <dimension ref="A1:J32"/>
  <sheetViews>
    <sheetView showGridLines="0" topLeftCell="D5" zoomScale="90" zoomScaleNormal="90" workbookViewId="0"/>
  </sheetViews>
  <sheetFormatPr defaultRowHeight="15.75" customHeight="1"/>
  <cols>
    <col min="1" max="2" width="16.28515625" style="97" hidden="1" customWidth="1"/>
    <col min="3" max="3" width="2.7109375" style="97" hidden="1" customWidth="1"/>
    <col min="4" max="5" width="2.7109375" style="97" customWidth="1"/>
    <col min="6" max="6" width="25.7109375" style="97" customWidth="1"/>
    <col min="7" max="7" width="60.7109375" style="97" customWidth="1"/>
    <col min="8" max="9" width="2.7109375" style="97" customWidth="1"/>
    <col min="10" max="16384" width="9.140625" style="97"/>
  </cols>
  <sheetData>
    <row r="1" spans="1:10" ht="29.25" hidden="1" customHeight="1">
      <c r="A1" s="195"/>
    </row>
    <row r="2" spans="1:10" ht="29.25" hidden="1" customHeight="1">
      <c r="A2" s="13"/>
    </row>
    <row r="3" spans="1:10" ht="29.25" hidden="1" customHeight="1">
      <c r="A3" s="13"/>
    </row>
    <row r="4" spans="1:10" ht="12" hidden="1" customHeight="1">
      <c r="A4" s="13"/>
    </row>
    <row r="5" spans="1:10" s="32" customFormat="1" ht="14.25" customHeight="1">
      <c r="A5" s="29"/>
      <c r="B5" s="30"/>
      <c r="C5" s="31"/>
      <c r="G5" s="98" t="e">
        <f ca="1">version</f>
        <v>#NAME?</v>
      </c>
      <c r="H5" s="33"/>
    </row>
    <row r="6" spans="1:10" s="37" customFormat="1" ht="3" customHeight="1">
      <c r="A6" s="34"/>
      <c r="B6" s="35"/>
      <c r="C6" s="36"/>
      <c r="F6" s="401"/>
      <c r="G6" s="401"/>
      <c r="H6" s="38"/>
    </row>
    <row r="7" spans="1:10" s="42" customFormat="1" ht="18" customHeight="1">
      <c r="A7" s="39"/>
      <c r="B7" s="35"/>
      <c r="C7" s="40"/>
      <c r="E7" s="403" t="s">
        <v>1492</v>
      </c>
      <c r="F7" s="404"/>
      <c r="G7" s="405"/>
      <c r="H7" s="41"/>
    </row>
    <row r="8" spans="1:10" s="42" customFormat="1" ht="5.25" customHeight="1">
      <c r="A8" s="39"/>
      <c r="B8" s="35"/>
      <c r="C8" s="40"/>
      <c r="D8" s="43"/>
      <c r="E8" s="43"/>
      <c r="F8" s="43"/>
      <c r="G8" s="43"/>
      <c r="H8" s="41"/>
    </row>
    <row r="9" spans="1:10" s="42" customFormat="1" ht="6" customHeight="1">
      <c r="A9" s="39"/>
      <c r="B9" s="35"/>
      <c r="C9" s="40"/>
      <c r="D9" s="43"/>
      <c r="E9" s="43"/>
      <c r="F9" s="402"/>
      <c r="G9" s="402"/>
      <c r="H9" s="41"/>
    </row>
    <row r="10" spans="1:10" s="32" customFormat="1" ht="21" customHeight="1">
      <c r="A10" s="29"/>
      <c r="B10" s="30"/>
      <c r="C10" s="31"/>
      <c r="D10" s="44"/>
      <c r="E10" s="400" t="s">
        <v>1649</v>
      </c>
      <c r="F10" s="400"/>
      <c r="G10" s="209" t="s">
        <v>1588</v>
      </c>
      <c r="H10" s="99"/>
      <c r="I10" s="45"/>
      <c r="J10" s="100">
        <v>2014</v>
      </c>
    </row>
    <row r="11" spans="1:10" ht="12" customHeight="1">
      <c r="D11" s="101"/>
      <c r="E11" s="102"/>
      <c r="F11" s="102"/>
      <c r="G11" s="102"/>
      <c r="H11" s="101"/>
      <c r="J11" s="13" t="s">
        <v>1731</v>
      </c>
    </row>
    <row r="12" spans="1:10" ht="27" customHeight="1">
      <c r="D12" s="101"/>
      <c r="F12" s="78"/>
      <c r="G12" s="79" t="s">
        <v>1684</v>
      </c>
      <c r="H12" s="101"/>
    </row>
    <row r="13" spans="1:10" ht="18" customHeight="1">
      <c r="D13" s="101"/>
      <c r="E13" s="103"/>
      <c r="F13" s="104" t="s">
        <v>1501</v>
      </c>
      <c r="G13" s="109"/>
      <c r="H13" s="101"/>
    </row>
    <row r="14" spans="1:10" ht="18" customHeight="1">
      <c r="D14" s="101"/>
      <c r="E14" s="103"/>
      <c r="F14" s="104" t="s">
        <v>1502</v>
      </c>
      <c r="G14" s="109"/>
      <c r="H14" s="101"/>
    </row>
    <row r="15" spans="1:10" ht="18" customHeight="1">
      <c r="D15" s="101"/>
      <c r="E15" s="103"/>
      <c r="F15" s="104" t="s">
        <v>1503</v>
      </c>
      <c r="G15" s="109"/>
      <c r="H15" s="101"/>
    </row>
    <row r="16" spans="1:10" ht="15" hidden="1" customHeight="1">
      <c r="D16" s="101"/>
      <c r="E16" s="105"/>
      <c r="F16" s="105"/>
      <c r="G16" s="105"/>
      <c r="H16" s="101"/>
    </row>
    <row r="17" spans="1:8" ht="18" customHeight="1">
      <c r="D17" s="101"/>
      <c r="F17" s="77"/>
      <c r="G17" s="106" t="s">
        <v>1499</v>
      </c>
      <c r="H17" s="101"/>
    </row>
    <row r="18" spans="1:8" ht="30" customHeight="1">
      <c r="A18" s="14" t="s">
        <v>1507</v>
      </c>
      <c r="B18" s="15" t="s">
        <v>1493</v>
      </c>
      <c r="D18" s="101"/>
      <c r="E18" s="103"/>
      <c r="F18" s="104" t="s">
        <v>1527</v>
      </c>
      <c r="G18" s="109"/>
      <c r="H18" s="101"/>
    </row>
    <row r="19" spans="1:8" ht="18" customHeight="1">
      <c r="A19" s="14" t="s">
        <v>1494</v>
      </c>
      <c r="B19" s="15" t="s">
        <v>1495</v>
      </c>
      <c r="D19" s="101"/>
      <c r="E19" s="103"/>
      <c r="F19" s="104" t="s">
        <v>1495</v>
      </c>
      <c r="G19" s="109"/>
      <c r="H19" s="101"/>
    </row>
    <row r="20" spans="1:8" ht="18" customHeight="1">
      <c r="A20" s="14" t="s">
        <v>1496</v>
      </c>
      <c r="B20" s="15" t="s">
        <v>1497</v>
      </c>
      <c r="D20" s="101"/>
      <c r="E20" s="103"/>
      <c r="F20" s="104" t="s">
        <v>1497</v>
      </c>
      <c r="G20" s="109"/>
      <c r="H20" s="101"/>
    </row>
    <row r="21" spans="1:8" ht="18" customHeight="1">
      <c r="A21" s="14" t="s">
        <v>1498</v>
      </c>
      <c r="B21" s="15" t="s">
        <v>1528</v>
      </c>
      <c r="D21" s="101"/>
      <c r="E21" s="103"/>
      <c r="F21" s="104" t="s">
        <v>1528</v>
      </c>
      <c r="G21" s="109"/>
      <c r="H21" s="101"/>
    </row>
    <row r="22" spans="1:8" ht="15" hidden="1" customHeight="1">
      <c r="A22" s="14"/>
      <c r="B22" s="15"/>
      <c r="D22" s="101"/>
      <c r="E22" s="105"/>
      <c r="F22" s="105"/>
      <c r="G22" s="105"/>
      <c r="H22" s="101"/>
    </row>
    <row r="23" spans="1:8" ht="18" customHeight="1">
      <c r="A23" s="14"/>
      <c r="B23" s="15"/>
      <c r="D23" s="101"/>
      <c r="F23" s="77"/>
      <c r="G23" s="106" t="s">
        <v>1500</v>
      </c>
      <c r="H23" s="101"/>
    </row>
    <row r="24" spans="1:8" ht="30" customHeight="1">
      <c r="A24" s="14"/>
      <c r="B24" s="15"/>
      <c r="D24" s="101"/>
      <c r="E24" s="103"/>
      <c r="F24" s="104" t="s">
        <v>1527</v>
      </c>
      <c r="G24" s="109"/>
      <c r="H24" s="101"/>
    </row>
    <row r="25" spans="1:8" ht="18" customHeight="1">
      <c r="A25" s="14"/>
      <c r="B25" s="15"/>
      <c r="D25" s="101"/>
      <c r="E25" s="103"/>
      <c r="F25" s="104" t="s">
        <v>1497</v>
      </c>
      <c r="G25" s="109"/>
      <c r="H25" s="101"/>
    </row>
    <row r="26" spans="1:8" ht="12" customHeight="1">
      <c r="D26" s="101"/>
      <c r="E26" s="102"/>
      <c r="F26" s="102"/>
      <c r="G26" s="102"/>
      <c r="H26" s="101"/>
    </row>
    <row r="32" spans="1:8" ht="15.75" customHeight="1">
      <c r="F32" s="107"/>
    </row>
  </sheetData>
  <sheetProtection password="FA9C" sheet="1" objects="1" scenarios="1" formatColumns="0" formatRows="0"/>
  <mergeCells count="4">
    <mergeCell ref="E10:F10"/>
    <mergeCell ref="F6:G6"/>
    <mergeCell ref="F9:G9"/>
    <mergeCell ref="E7:G7"/>
  </mergeCells>
  <phoneticPr fontId="8" type="noConversion"/>
  <dataValidations disablePrompts="1" count="1">
    <dataValidation type="textLength" allowBlank="1" showInputMessage="1" showErrorMessage="1" errorTitle="Внимание" error="Длина поля не может превышать 300 символов!" sqref="G13:G15 G18:G21 G24:G25">
      <formula1>0</formula1>
      <formula2>300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 codeName="modfrmCheckUpdates">
    <tabColor indexed="47"/>
  </sheetPr>
  <dimension ref="A1"/>
  <sheetViews>
    <sheetView workbookViewId="0"/>
  </sheetViews>
  <sheetFormatPr defaultRowHeight="11.25"/>
  <cols>
    <col min="1" max="16384" width="9.140625" style="72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codeName="modCommonProcedures">
    <tabColor indexed="47"/>
  </sheetPr>
  <dimension ref="C315:C3912"/>
  <sheetViews>
    <sheetView workbookViewId="0"/>
  </sheetViews>
  <sheetFormatPr defaultRowHeight="11.25" customHeight="1"/>
  <cols>
    <col min="1" max="16384" width="9.140625" style="67"/>
  </cols>
  <sheetData>
    <row r="315" spans="3:3" ht="11.25" customHeight="1">
      <c r="C315" s="66" t="s">
        <v>1675</v>
      </c>
    </row>
    <row r="715" spans="3:3" ht="11.25" customHeight="1">
      <c r="C715" s="66" t="s">
        <v>1675</v>
      </c>
    </row>
    <row r="1115" spans="3:3" ht="11.25" customHeight="1">
      <c r="C1115" s="66" t="s">
        <v>1675</v>
      </c>
    </row>
    <row r="1512" spans="3:3" ht="11.25" customHeight="1">
      <c r="C1512" s="66" t="s">
        <v>1675</v>
      </c>
    </row>
    <row r="1912" spans="3:3" ht="11.25" customHeight="1">
      <c r="C1912" s="66" t="s">
        <v>1675</v>
      </c>
    </row>
    <row r="2312" spans="3:3" ht="11.25" customHeight="1">
      <c r="C2312" s="66" t="s">
        <v>1675</v>
      </c>
    </row>
    <row r="3912" spans="3:3" ht="11.25" customHeight="1">
      <c r="C3912" s="66" t="s">
        <v>1675</v>
      </c>
    </row>
  </sheetData>
  <sheetProtection formatColumns="0" formatRows="0"/>
  <phoneticPr fontId="0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codeName="modUpdateToActualVersion">
    <tabColor indexed="47"/>
  </sheetPr>
  <dimension ref="A1"/>
  <sheetViews>
    <sheetView workbookViewId="0"/>
  </sheetViews>
  <sheetFormatPr defaultRowHeight="11.25"/>
  <cols>
    <col min="1" max="1" width="29.28515625" bestFit="1" customWidth="1"/>
    <col min="2" max="2" width="10.7109375" customWidth="1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codeName="modfrmHEATAdditionalOrgData">
    <tabColor indexed="47"/>
  </sheetPr>
  <dimension ref="A1"/>
  <sheetViews>
    <sheetView showGridLines="0" workbookViewId="0"/>
  </sheetViews>
  <sheetFormatPr defaultRowHeight="11.25"/>
  <cols>
    <col min="1" max="1" width="9.140625" style="17"/>
    <col min="2" max="16384" width="9.140625" style="18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tech">
    <tabColor indexed="47"/>
  </sheetPr>
  <dimension ref="A1:GM199"/>
  <sheetViews>
    <sheetView zoomScale="80" zoomScaleNormal="80" workbookViewId="0"/>
  </sheetViews>
  <sheetFormatPr defaultRowHeight="11.25"/>
  <cols>
    <col min="1" max="3" width="8.85546875" style="10" customWidth="1"/>
    <col min="4" max="8" width="4.7109375" style="10" customWidth="1"/>
    <col min="9" max="9" width="4.7109375" style="12" customWidth="1"/>
    <col min="10" max="21" width="4.7109375" style="10" customWidth="1"/>
    <col min="22" max="25" width="3.7109375" style="10" customWidth="1"/>
    <col min="26" max="26" width="3.7109375" style="11" customWidth="1"/>
    <col min="27" max="27" width="3.7109375" style="10" customWidth="1"/>
    <col min="28" max="28" width="19.7109375" style="10" customWidth="1"/>
    <col min="29" max="29" width="20.7109375" style="10" customWidth="1"/>
    <col min="30" max="30" width="4.7109375" style="10" customWidth="1"/>
    <col min="31" max="166" width="3.7109375" style="10" customWidth="1"/>
    <col min="167" max="178" width="9.140625" style="10"/>
    <col min="179" max="179" width="27.7109375" style="10" customWidth="1"/>
    <col min="180" max="16384" width="9.140625" style="10"/>
  </cols>
  <sheetData>
    <row r="1" spans="9:26" s="1" customFormat="1">
      <c r="I1" s="8"/>
      <c r="Z1" s="7"/>
    </row>
    <row r="2" spans="9:26" customFormat="1" ht="2.25" customHeight="1"/>
    <row r="3" spans="9:26" customFormat="1" ht="2.25" customHeight="1"/>
    <row r="4" spans="9:26" customFormat="1" ht="2.25" customHeight="1"/>
    <row r="5" spans="9:26" customFormat="1" ht="2.25" customHeight="1"/>
    <row r="6" spans="9:26" customFormat="1" ht="2.25" customHeight="1"/>
    <row r="7" spans="9:26" customFormat="1" ht="2.25" customHeight="1"/>
    <row r="8" spans="9:26" customFormat="1" ht="2.25" customHeight="1"/>
    <row r="9" spans="9:26" customFormat="1" ht="2.25" customHeight="1"/>
    <row r="10" spans="9:26" customFormat="1" ht="2.25" customHeight="1"/>
    <row r="11" spans="9:26" customFormat="1" ht="2.25" customHeight="1"/>
    <row r="12" spans="9:26" customFormat="1" ht="2.25" customHeight="1"/>
    <row r="13" spans="9:26" customFormat="1" ht="2.25" customHeight="1"/>
    <row r="14" spans="9:26" customFormat="1" ht="2.25" customHeight="1"/>
    <row r="15" spans="9:26" customFormat="1" ht="2.25" customHeight="1"/>
    <row r="16" spans="9:26" customFormat="1" ht="2.25" customHeight="1"/>
    <row r="17" spans="6:25" customFormat="1" ht="2.25" customHeight="1"/>
    <row r="18" spans="6:25" customFormat="1" ht="12" customHeight="1">
      <c r="G18" s="414" t="s">
        <v>1765</v>
      </c>
      <c r="H18" s="414"/>
      <c r="I18" s="414"/>
      <c r="M18" s="414" t="s">
        <v>1764</v>
      </c>
      <c r="N18" s="414"/>
      <c r="O18" s="414"/>
    </row>
    <row r="19" spans="6:25" customFormat="1" ht="2.25" customHeight="1">
      <c r="F19" s="10"/>
      <c r="G19" s="10"/>
      <c r="H19" s="10"/>
      <c r="J19" s="417"/>
      <c r="K19" s="417"/>
      <c r="L19" s="419"/>
      <c r="O19" s="10"/>
      <c r="P19" s="428"/>
      <c r="Q19" s="431"/>
      <c r="R19" s="428"/>
      <c r="W19" s="10"/>
      <c r="X19" s="10"/>
      <c r="Y19" s="10"/>
    </row>
    <row r="20" spans="6:25" customFormat="1" ht="2.25" customHeight="1">
      <c r="F20" s="10"/>
      <c r="G20" s="10"/>
      <c r="H20" s="10"/>
      <c r="J20" s="417"/>
      <c r="K20" s="417"/>
      <c r="L20" s="419"/>
      <c r="O20" s="10"/>
      <c r="P20" s="428"/>
      <c r="Q20" s="431"/>
      <c r="R20" s="428"/>
      <c r="W20" s="10"/>
      <c r="X20" s="10"/>
      <c r="Y20" s="10"/>
    </row>
    <row r="21" spans="6:25" customFormat="1" ht="2.25" customHeight="1">
      <c r="F21" s="10"/>
      <c r="G21" s="10"/>
      <c r="H21" s="10"/>
      <c r="J21" s="417"/>
      <c r="K21" s="417"/>
      <c r="L21" s="419"/>
      <c r="O21" s="10"/>
      <c r="P21" s="428"/>
      <c r="Q21" s="431"/>
      <c r="R21" s="428"/>
      <c r="W21" s="10"/>
      <c r="X21" s="10"/>
      <c r="Y21" s="10"/>
    </row>
    <row r="22" spans="6:25" customFormat="1" ht="2.25" customHeight="1">
      <c r="F22" s="10"/>
      <c r="G22" s="10"/>
      <c r="H22" s="10"/>
      <c r="J22" s="417"/>
      <c r="K22" s="417"/>
      <c r="L22" s="419"/>
      <c r="O22" s="10"/>
      <c r="P22" s="428"/>
      <c r="Q22" s="431"/>
      <c r="R22" s="428"/>
      <c r="W22" s="10"/>
      <c r="X22" s="10"/>
      <c r="Y22" s="10"/>
    </row>
    <row r="23" spans="6:25" customFormat="1" ht="2.25" customHeight="1">
      <c r="F23" s="10"/>
      <c r="G23" s="10"/>
      <c r="H23" s="10"/>
      <c r="J23" s="417"/>
      <c r="K23" s="417"/>
      <c r="L23" s="419"/>
      <c r="O23" s="10"/>
      <c r="P23" s="428"/>
      <c r="Q23" s="431"/>
      <c r="R23" s="428"/>
      <c r="W23" s="10"/>
      <c r="X23" s="10"/>
      <c r="Y23" s="10"/>
    </row>
    <row r="24" spans="6:25" customFormat="1" ht="2.25" customHeight="1">
      <c r="F24" s="10"/>
      <c r="G24" s="10"/>
      <c r="H24" s="10"/>
      <c r="J24" s="417"/>
      <c r="K24" s="417"/>
      <c r="L24" s="419"/>
      <c r="O24" s="10"/>
      <c r="P24" s="428"/>
      <c r="Q24" s="431"/>
      <c r="R24" s="428"/>
      <c r="W24" s="10"/>
      <c r="X24" s="10"/>
      <c r="Y24" s="10"/>
    </row>
    <row r="25" spans="6:25" customFormat="1" ht="2.25" customHeight="1">
      <c r="F25" s="10"/>
      <c r="G25" s="10"/>
      <c r="H25" s="10"/>
      <c r="J25" s="417"/>
      <c r="K25" s="417"/>
      <c r="L25" s="419"/>
      <c r="O25" s="10"/>
      <c r="P25" s="428"/>
      <c r="Q25" s="431"/>
      <c r="R25" s="428"/>
      <c r="W25" s="10"/>
      <c r="X25" s="10"/>
      <c r="Y25" s="10"/>
    </row>
    <row r="26" spans="6:25" customFormat="1" ht="2.25" customHeight="1">
      <c r="F26" s="10"/>
      <c r="G26" s="10"/>
      <c r="H26" s="10"/>
      <c r="J26" s="417"/>
      <c r="K26" s="417"/>
      <c r="L26" s="419"/>
      <c r="O26" s="10"/>
      <c r="P26" s="428"/>
      <c r="Q26" s="431"/>
      <c r="R26" s="428"/>
      <c r="W26" s="10"/>
      <c r="X26" s="10"/>
      <c r="Y26" s="10"/>
    </row>
    <row r="27" spans="6:25" customFormat="1" ht="2.25" customHeight="1">
      <c r="F27" s="10"/>
      <c r="G27" s="10"/>
      <c r="H27" s="10"/>
      <c r="J27" s="417"/>
      <c r="K27" s="417"/>
      <c r="L27" s="419"/>
      <c r="O27" s="10"/>
      <c r="P27" s="428"/>
      <c r="Q27" s="431"/>
      <c r="R27" s="428"/>
      <c r="W27" s="10"/>
      <c r="X27" s="10"/>
      <c r="Y27" s="10"/>
    </row>
    <row r="28" spans="6:25" customFormat="1" ht="2.25" customHeight="1">
      <c r="F28" s="10"/>
      <c r="G28" s="10"/>
      <c r="H28" s="10"/>
      <c r="J28" s="417"/>
      <c r="K28" s="417"/>
      <c r="L28" s="419"/>
      <c r="O28" s="10"/>
      <c r="P28" s="428"/>
      <c r="Q28" s="431"/>
      <c r="R28" s="428"/>
      <c r="W28" s="10"/>
      <c r="X28" s="10"/>
      <c r="Y28" s="10"/>
    </row>
    <row r="29" spans="6:25" customFormat="1" ht="2.25" customHeight="1">
      <c r="F29" s="10"/>
      <c r="G29" s="10"/>
      <c r="H29" s="10"/>
      <c r="J29" s="417"/>
      <c r="K29" s="417"/>
      <c r="L29" s="419"/>
      <c r="O29" s="10"/>
      <c r="P29" s="428"/>
      <c r="Q29" s="431"/>
      <c r="R29" s="428"/>
      <c r="W29" s="10"/>
      <c r="X29" s="10"/>
      <c r="Y29" s="10"/>
    </row>
    <row r="30" spans="6:25" customFormat="1" ht="2.25" customHeight="1">
      <c r="F30" s="10"/>
      <c r="G30" s="10"/>
      <c r="H30" s="10"/>
      <c r="J30" s="417"/>
      <c r="K30" s="417"/>
      <c r="L30" s="419"/>
      <c r="O30" s="10"/>
      <c r="P30" s="428"/>
      <c r="Q30" s="431"/>
      <c r="R30" s="428"/>
      <c r="W30" s="10"/>
      <c r="X30" s="10"/>
      <c r="Y30" s="10"/>
    </row>
    <row r="31" spans="6:25" customFormat="1" ht="2.25" customHeight="1">
      <c r="F31" s="10"/>
      <c r="G31" s="10"/>
      <c r="H31" s="10"/>
      <c r="J31" s="417"/>
      <c r="K31" s="417"/>
      <c r="L31" s="419"/>
      <c r="O31" s="10"/>
      <c r="P31" s="428"/>
      <c r="Q31" s="431"/>
      <c r="R31" s="428"/>
      <c r="W31" s="10"/>
      <c r="X31" s="10"/>
      <c r="Y31" s="10"/>
    </row>
    <row r="32" spans="6:25" customFormat="1" ht="2.25" customHeight="1">
      <c r="F32" s="10"/>
      <c r="G32" s="10"/>
      <c r="H32" s="10"/>
      <c r="J32" s="417"/>
      <c r="K32" s="417"/>
      <c r="L32" s="419"/>
      <c r="O32" s="10"/>
      <c r="P32" s="428"/>
      <c r="Q32" s="431"/>
      <c r="R32" s="428"/>
      <c r="W32" s="10"/>
      <c r="X32" s="10"/>
      <c r="Y32" s="10"/>
    </row>
    <row r="33" spans="6:25" customFormat="1" ht="2.25" customHeight="1">
      <c r="F33" s="10"/>
      <c r="G33" s="10"/>
      <c r="H33" s="10"/>
      <c r="J33" s="417"/>
      <c r="K33" s="417"/>
      <c r="L33" s="419"/>
      <c r="O33" s="10"/>
      <c r="P33" s="428"/>
      <c r="Q33" s="431"/>
      <c r="R33" s="428"/>
      <c r="W33" s="10"/>
      <c r="X33" s="10"/>
      <c r="Y33" s="10"/>
    </row>
    <row r="34" spans="6:25" customFormat="1" ht="2.25" customHeight="1">
      <c r="F34" s="10"/>
      <c r="G34" s="10"/>
      <c r="H34" s="10"/>
      <c r="J34" s="417"/>
      <c r="K34" s="417"/>
      <c r="L34" s="419"/>
      <c r="O34" s="10"/>
      <c r="P34" s="428"/>
      <c r="Q34" s="431"/>
      <c r="R34" s="428"/>
      <c r="W34" s="10"/>
      <c r="X34" s="10"/>
      <c r="Y34" s="10"/>
    </row>
    <row r="35" spans="6:25" customFormat="1" ht="2.25" customHeight="1">
      <c r="F35" s="10"/>
      <c r="G35" s="10"/>
      <c r="H35" s="10"/>
      <c r="J35" s="417"/>
      <c r="K35" s="417"/>
      <c r="L35" s="419"/>
      <c r="O35" s="10"/>
      <c r="P35" s="428"/>
      <c r="Q35" s="431"/>
      <c r="R35" s="428"/>
      <c r="W35" s="10"/>
      <c r="X35" s="10"/>
      <c r="Y35" s="10"/>
    </row>
    <row r="36" spans="6:25" customFormat="1" ht="2.25" customHeight="1">
      <c r="F36" s="10"/>
      <c r="G36" s="10"/>
      <c r="H36" s="10"/>
      <c r="J36" s="417"/>
      <c r="K36" s="417"/>
      <c r="L36" s="419"/>
      <c r="O36" s="10"/>
      <c r="P36" s="428"/>
      <c r="Q36" s="431"/>
      <c r="R36" s="428"/>
      <c r="W36" s="10"/>
      <c r="X36" s="10"/>
      <c r="Y36" s="10"/>
    </row>
    <row r="37" spans="6:25" customFormat="1" ht="2.25" customHeight="1">
      <c r="F37" s="10"/>
      <c r="G37" s="10"/>
      <c r="H37" s="10"/>
      <c r="J37" s="417"/>
      <c r="K37" s="417"/>
      <c r="L37" s="419"/>
      <c r="O37" s="10"/>
      <c r="P37" s="428"/>
      <c r="Q37" s="431"/>
      <c r="R37" s="428"/>
      <c r="W37" s="10"/>
      <c r="X37" s="10"/>
      <c r="Y37" s="10"/>
    </row>
    <row r="38" spans="6:25" customFormat="1" ht="2.25" customHeight="1">
      <c r="F38" s="10"/>
      <c r="G38" s="10"/>
      <c r="H38" s="10"/>
      <c r="J38" s="417"/>
      <c r="K38" s="417"/>
      <c r="L38" s="419"/>
      <c r="O38" s="10"/>
      <c r="P38" s="429"/>
      <c r="Q38" s="429"/>
      <c r="R38" s="429"/>
      <c r="W38" s="10"/>
      <c r="X38" s="10"/>
      <c r="Y38" s="10"/>
    </row>
    <row r="39" spans="6:25" customFormat="1" ht="12" customHeight="1"/>
    <row r="40" spans="6:25" customFormat="1" ht="2.25" customHeight="1"/>
    <row r="41" spans="6:25" customFormat="1" ht="2.25" customHeight="1"/>
    <row r="42" spans="6:25" customFormat="1" ht="2.25" customHeight="1"/>
    <row r="43" spans="6:25" customFormat="1" ht="2.25" customHeight="1"/>
    <row r="44" spans="6:25" customFormat="1" ht="2.25" customHeight="1"/>
    <row r="45" spans="6:25" customFormat="1" ht="2.25" customHeight="1"/>
    <row r="46" spans="6:25" customFormat="1" ht="2.25" customHeight="1"/>
    <row r="47" spans="6:25" customFormat="1" ht="2.25" customHeight="1"/>
    <row r="48" spans="6:25" customFormat="1" ht="2.25" customHeight="1"/>
    <row r="49" spans="10:167" customFormat="1" ht="2.25" customHeight="1"/>
    <row r="50" spans="10:167" customFormat="1" ht="2.25" customHeight="1"/>
    <row r="51" spans="10:167" customFormat="1" ht="2.25" customHeight="1"/>
    <row r="52" spans="10:167">
      <c r="K52"/>
      <c r="L52"/>
      <c r="M52"/>
      <c r="N52"/>
      <c r="O52"/>
      <c r="P52"/>
      <c r="Q52"/>
      <c r="R52"/>
      <c r="S52"/>
      <c r="T52"/>
      <c r="U52"/>
      <c r="Y52"/>
      <c r="Z52"/>
      <c r="AA52"/>
      <c r="AB52"/>
      <c r="AC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</row>
    <row r="53" spans="10:167">
      <c r="K53"/>
      <c r="L53"/>
      <c r="M53"/>
      <c r="N53"/>
      <c r="O53"/>
      <c r="P53"/>
      <c r="Q53"/>
      <c r="R53"/>
      <c r="S53"/>
      <c r="T53"/>
      <c r="U53"/>
      <c r="Y53"/>
      <c r="Z53"/>
      <c r="AA53"/>
      <c r="AB53" s="430" t="s">
        <v>1770</v>
      </c>
      <c r="AC53" s="430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</row>
    <row r="54" spans="10:167" ht="12.75" customHeight="1">
      <c r="K54"/>
      <c r="L54"/>
      <c r="M54"/>
      <c r="N54"/>
      <c r="O54"/>
      <c r="P54"/>
      <c r="Q54"/>
      <c r="R54"/>
      <c r="S54"/>
      <c r="T54"/>
      <c r="U54"/>
      <c r="Y54"/>
      <c r="Z54"/>
      <c r="AA54"/>
      <c r="AB54" s="430"/>
      <c r="AC54" s="430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</row>
    <row r="55" spans="10:167" customFormat="1" ht="12.75" customHeight="1">
      <c r="AB55" s="430"/>
      <c r="AC55" s="430"/>
    </row>
    <row r="56" spans="10:167" customFormat="1" ht="11.25" customHeight="1">
      <c r="AB56" s="430"/>
      <c r="AC56" s="430"/>
    </row>
    <row r="57" spans="10:167" customFormat="1" ht="12.75" customHeight="1"/>
    <row r="58" spans="10:167" customFormat="1" ht="0.75" customHeight="1"/>
    <row r="59" spans="10:167" customFormat="1" ht="0.75" customHeight="1"/>
    <row r="60" spans="10:167" customFormat="1" ht="0.75" customHeight="1"/>
    <row r="61" spans="10:167" customFormat="1" ht="0.75" customHeight="1">
      <c r="J61" s="361"/>
      <c r="K61" s="361"/>
      <c r="L61" s="361"/>
      <c r="M61" s="361"/>
      <c r="N61" s="361"/>
      <c r="O61" s="361"/>
    </row>
    <row r="62" spans="10:167" customFormat="1" ht="0.75" customHeight="1">
      <c r="J62" s="361"/>
      <c r="K62" s="361"/>
      <c r="L62" s="361"/>
      <c r="M62" s="361"/>
      <c r="N62" s="361"/>
      <c r="O62" s="361"/>
    </row>
    <row r="63" spans="10:167" customFormat="1" ht="0.75" customHeight="1">
      <c r="J63" s="361"/>
      <c r="K63" s="361"/>
      <c r="L63" s="361"/>
      <c r="M63" s="361"/>
      <c r="N63" s="361"/>
      <c r="O63" s="361"/>
    </row>
    <row r="64" spans="10:167" customFormat="1" ht="0.75" customHeight="1">
      <c r="J64" s="361"/>
      <c r="K64" s="361"/>
      <c r="L64" s="361"/>
      <c r="M64" s="361"/>
      <c r="N64" s="361"/>
      <c r="O64" s="361"/>
    </row>
    <row r="65" spans="10:15" customFormat="1" ht="0.75" customHeight="1">
      <c r="J65" s="361"/>
      <c r="K65" s="361"/>
      <c r="L65" s="361"/>
      <c r="M65" s="361"/>
      <c r="N65" s="361"/>
      <c r="O65" s="361"/>
    </row>
    <row r="66" spans="10:15" customFormat="1" ht="0.75" customHeight="1">
      <c r="J66" s="361"/>
      <c r="K66" s="361"/>
      <c r="L66" s="361"/>
      <c r="M66" s="361"/>
      <c r="N66" s="361"/>
      <c r="O66" s="361"/>
    </row>
    <row r="67" spans="10:15" customFormat="1" ht="0.75" customHeight="1">
      <c r="J67" s="361"/>
      <c r="K67" s="361"/>
      <c r="L67" s="361"/>
      <c r="M67" s="361"/>
      <c r="N67" s="361"/>
      <c r="O67" s="361"/>
    </row>
    <row r="68" spans="10:15" customFormat="1" ht="0.75" customHeight="1">
      <c r="J68" s="361"/>
      <c r="K68" s="361"/>
      <c r="L68" s="361"/>
      <c r="M68" s="361"/>
      <c r="N68" s="361"/>
      <c r="O68" s="361"/>
    </row>
    <row r="69" spans="10:15" customFormat="1" ht="0.75" customHeight="1">
      <c r="J69" s="361"/>
      <c r="K69" s="361"/>
      <c r="L69" s="361"/>
      <c r="M69" s="361"/>
      <c r="N69" s="361"/>
      <c r="O69" s="361"/>
    </row>
    <row r="70" spans="10:15" customFormat="1" ht="0.75" customHeight="1">
      <c r="J70" s="361"/>
      <c r="K70" s="361"/>
      <c r="L70" s="361"/>
      <c r="M70" s="361"/>
      <c r="N70" s="361"/>
      <c r="O70" s="361"/>
    </row>
    <row r="71" spans="10:15" customFormat="1" ht="0.75" customHeight="1">
      <c r="J71" s="361"/>
      <c r="K71" s="361"/>
      <c r="L71" s="361"/>
      <c r="M71" s="361"/>
      <c r="N71" s="361"/>
      <c r="O71" s="361"/>
    </row>
    <row r="72" spans="10:15" customFormat="1" ht="0.75" customHeight="1">
      <c r="J72" s="361"/>
      <c r="K72" s="361"/>
      <c r="L72" s="361"/>
      <c r="M72" s="361"/>
      <c r="N72" s="361"/>
      <c r="O72" s="361"/>
    </row>
    <row r="73" spans="10:15" customFormat="1" ht="0.75" customHeight="1">
      <c r="J73" s="361"/>
      <c r="K73" s="361"/>
      <c r="L73" s="361"/>
      <c r="M73" s="361"/>
      <c r="N73" s="361"/>
      <c r="O73" s="361"/>
    </row>
    <row r="74" spans="10:15" customFormat="1" ht="0.75" customHeight="1">
      <c r="J74" s="361"/>
      <c r="K74" s="361"/>
      <c r="L74" s="361"/>
      <c r="M74" s="361"/>
      <c r="N74" s="361"/>
      <c r="O74" s="361"/>
    </row>
    <row r="75" spans="10:15" customFormat="1" ht="0.75" customHeight="1">
      <c r="J75" s="361"/>
      <c r="K75" s="361"/>
      <c r="L75" s="361"/>
      <c r="M75" s="361"/>
      <c r="N75" s="361"/>
      <c r="O75" s="361"/>
    </row>
    <row r="76" spans="10:15" customFormat="1" ht="0.75" customHeight="1">
      <c r="J76" s="361"/>
      <c r="K76" s="361"/>
      <c r="L76" s="361"/>
      <c r="M76" s="361"/>
      <c r="N76" s="361"/>
      <c r="O76" s="361"/>
    </row>
    <row r="77" spans="10:15" customFormat="1" ht="0.75" customHeight="1">
      <c r="J77" s="361"/>
      <c r="K77" s="361"/>
      <c r="L77" s="361"/>
      <c r="M77" s="361"/>
      <c r="N77" s="361"/>
      <c r="O77" s="361"/>
    </row>
    <row r="78" spans="10:15" customFormat="1" ht="0.75" customHeight="1">
      <c r="J78" s="361"/>
      <c r="K78" s="361"/>
      <c r="L78" s="361"/>
      <c r="M78" s="361"/>
      <c r="N78" s="361"/>
      <c r="O78" s="361"/>
    </row>
    <row r="79" spans="10:15" customFormat="1" ht="0.75" customHeight="1">
      <c r="J79" s="361"/>
      <c r="K79" s="361"/>
      <c r="L79" s="361"/>
      <c r="M79" s="361"/>
      <c r="N79" s="361"/>
      <c r="O79" s="361"/>
    </row>
    <row r="80" spans="10:15" customFormat="1" ht="0.75" customHeight="1">
      <c r="J80" s="361"/>
      <c r="K80" s="361"/>
      <c r="L80" s="361"/>
      <c r="M80" s="361"/>
      <c r="N80" s="361"/>
      <c r="O80" s="361"/>
    </row>
    <row r="81" customFormat="1" ht="0.75" customHeight="1"/>
    <row r="82" customFormat="1" ht="0.75" customHeight="1"/>
    <row r="83" customFormat="1" ht="0.75" customHeight="1"/>
    <row r="84" customFormat="1" ht="0.75" customHeight="1"/>
    <row r="85" customFormat="1" ht="0.75" customHeight="1"/>
    <row r="86" customFormat="1" ht="0.75" customHeight="1"/>
    <row r="87" customFormat="1" ht="0.75" customHeight="1"/>
    <row r="88" customFormat="1" ht="0.75" customHeight="1"/>
    <row r="89" customFormat="1" ht="0.75" customHeight="1"/>
    <row r="90" customFormat="1" ht="0.75" customHeight="1"/>
    <row r="91" customFormat="1" ht="0.75" customHeight="1"/>
    <row r="92" customFormat="1" ht="0.75" customHeight="1"/>
    <row r="93" customFormat="1" ht="0.75" customHeight="1"/>
    <row r="94" customFormat="1" ht="0.75" customHeight="1"/>
    <row r="95" customFormat="1" ht="0.75" customHeight="1"/>
    <row r="96" customFormat="1" ht="0.75" customHeight="1"/>
    <row r="97" customFormat="1" ht="0.75" customHeight="1"/>
    <row r="98" customFormat="1" ht="0.75" customHeight="1"/>
    <row r="99" customFormat="1" ht="0.75" customHeight="1"/>
    <row r="100" customFormat="1" ht="0.75" customHeight="1"/>
    <row r="101" customFormat="1" ht="0.75" customHeight="1"/>
    <row r="102" customFormat="1" ht="0.75" customHeight="1"/>
    <row r="103" customFormat="1" ht="0.75" customHeight="1"/>
    <row r="104" customFormat="1" ht="0.75" customHeight="1"/>
    <row r="105" customFormat="1" ht="0.75" customHeight="1"/>
    <row r="106" customFormat="1" ht="0.75" customHeight="1"/>
    <row r="107" customFormat="1" ht="0.75" customHeight="1"/>
    <row r="108" customFormat="1" ht="0.75" customHeight="1"/>
    <row r="109" customFormat="1" ht="0.75" customHeight="1"/>
    <row r="110" customFormat="1" ht="0.75" customHeight="1"/>
    <row r="111" customFormat="1" ht="0.75" customHeight="1"/>
    <row r="112" customFormat="1" ht="0.75" customHeight="1"/>
    <row r="113" customFormat="1" ht="0.75" customHeight="1"/>
    <row r="114" customFormat="1" ht="0.75" customHeight="1"/>
    <row r="115" customFormat="1" ht="0.75" customHeight="1"/>
    <row r="116" customFormat="1" ht="0.75" customHeight="1"/>
    <row r="117" customFormat="1" ht="0.75" customHeight="1"/>
    <row r="118" customFormat="1" ht="0.75" customHeight="1"/>
    <row r="119" customFormat="1" ht="0.75" customHeight="1"/>
    <row r="120" customFormat="1" ht="0.75" customHeight="1"/>
    <row r="121" customFormat="1" ht="0.75" customHeight="1"/>
    <row r="122" customFormat="1" ht="0.75" customHeight="1"/>
    <row r="123" customFormat="1" ht="0.75" customHeight="1"/>
    <row r="124" customFormat="1" ht="0.75" customHeight="1"/>
    <row r="125" customFormat="1" ht="0.75" customHeight="1"/>
    <row r="126" customFormat="1" ht="0.75" customHeight="1"/>
    <row r="127" customFormat="1" ht="0.75" customHeight="1"/>
    <row r="128" customFormat="1" ht="0.75" customHeight="1"/>
    <row r="129" spans="1:195" ht="12" customHeight="1">
      <c r="A129" s="414" t="s">
        <v>1622</v>
      </c>
      <c r="B129" s="414"/>
      <c r="C129" s="414"/>
      <c r="AD129" s="11"/>
    </row>
    <row r="130" spans="1:195" ht="12" customHeight="1">
      <c r="A130" s="414" t="s">
        <v>1678</v>
      </c>
      <c r="B130" s="414"/>
      <c r="C130" s="414"/>
      <c r="AD130" s="11"/>
    </row>
    <row r="131" spans="1:195" ht="12" customHeight="1">
      <c r="A131" s="414" t="s">
        <v>1767</v>
      </c>
      <c r="B131" s="414"/>
      <c r="C131" s="414"/>
      <c r="AD131" s="11"/>
    </row>
    <row r="132" spans="1:195" s="1" customFormat="1" ht="11.25" customHeight="1">
      <c r="D132"/>
      <c r="E132"/>
      <c r="F132" s="200"/>
      <c r="G132" s="406"/>
      <c r="H132" s="411" t="s">
        <v>1703</v>
      </c>
      <c r="I132" s="412"/>
      <c r="J132" s="417"/>
      <c r="K132" s="417"/>
      <c r="L132" s="419"/>
      <c r="M132" s="418"/>
      <c r="N132" s="418"/>
      <c r="O132" s="418"/>
      <c r="P132" s="415" t="s">
        <v>1759</v>
      </c>
      <c r="Q132" s="416"/>
      <c r="R132" s="426"/>
      <c r="S132" s="410"/>
      <c r="T132" s="432"/>
      <c r="U132" s="412" t="s">
        <v>1722</v>
      </c>
      <c r="Y132" s="425"/>
      <c r="Z132" s="286" t="s">
        <v>1706</v>
      </c>
      <c r="AA132" s="286" t="s">
        <v>1724</v>
      </c>
      <c r="AB132" s="265"/>
      <c r="AC132" s="265"/>
      <c r="AD132" s="265"/>
      <c r="AE132" s="265"/>
      <c r="AF132" s="265"/>
      <c r="AG132" s="265"/>
      <c r="AH132" s="265"/>
      <c r="AI132" s="265"/>
      <c r="AJ132" s="265"/>
      <c r="AK132" s="265"/>
      <c r="AL132" s="265"/>
      <c r="AM132" s="265"/>
      <c r="AN132" s="265"/>
      <c r="AO132" s="265"/>
      <c r="AP132" s="265"/>
      <c r="AQ132" s="265"/>
      <c r="AR132" s="265"/>
      <c r="AS132" s="265"/>
      <c r="AT132" s="265"/>
      <c r="AU132" s="265"/>
      <c r="AV132" s="265"/>
      <c r="AW132" s="265"/>
      <c r="AX132" s="265"/>
      <c r="AY132" s="265"/>
      <c r="AZ132" s="265"/>
      <c r="BA132" s="265"/>
      <c r="BB132" s="265"/>
      <c r="BC132" s="265"/>
      <c r="BD132" s="265"/>
      <c r="BE132" s="265"/>
      <c r="BF132" s="265"/>
      <c r="BG132" s="265"/>
      <c r="BH132" s="265"/>
      <c r="BI132" s="265"/>
      <c r="BJ132" s="265"/>
      <c r="BK132" s="265"/>
      <c r="BL132" s="265"/>
      <c r="BM132" s="265"/>
      <c r="BN132" s="265"/>
      <c r="BO132" s="265"/>
      <c r="BP132" s="265"/>
      <c r="BQ132" s="265"/>
      <c r="BR132" s="265"/>
      <c r="BS132" s="265"/>
      <c r="BT132" s="265"/>
      <c r="BU132" s="265"/>
      <c r="BV132" s="265"/>
      <c r="BW132" s="265"/>
      <c r="BX132" s="265"/>
      <c r="BY132" s="265"/>
      <c r="BZ132" s="265"/>
      <c r="CA132" s="265"/>
      <c r="CB132" s="265"/>
      <c r="CC132" s="265"/>
      <c r="CD132" s="265"/>
      <c r="CE132" s="265"/>
      <c r="CF132" s="265"/>
      <c r="CG132" s="265"/>
      <c r="CH132" s="265"/>
      <c r="CI132" s="265"/>
      <c r="CJ132" s="265"/>
      <c r="CK132" s="265"/>
      <c r="CL132" s="265"/>
      <c r="CM132" s="265"/>
      <c r="CN132" s="265"/>
      <c r="CO132" s="265"/>
      <c r="CP132" s="265"/>
      <c r="CQ132" s="265"/>
      <c r="CR132" s="265"/>
      <c r="CS132" s="265"/>
      <c r="CT132" s="265"/>
      <c r="CU132" s="265"/>
      <c r="CV132" s="265"/>
      <c r="CW132" s="265"/>
      <c r="CX132" s="265"/>
      <c r="CY132" s="265"/>
      <c r="CZ132" s="265"/>
      <c r="DA132" s="265"/>
      <c r="DB132" s="265"/>
      <c r="DC132" s="265"/>
      <c r="DD132" s="265"/>
      <c r="DE132" s="265"/>
      <c r="DF132" s="265"/>
      <c r="DG132" s="265"/>
      <c r="DH132" s="265"/>
      <c r="DI132" s="265"/>
      <c r="DJ132" s="265"/>
      <c r="DK132" s="265"/>
      <c r="DL132" s="265"/>
      <c r="DM132" s="265"/>
      <c r="DN132" s="265"/>
      <c r="DO132" s="265"/>
      <c r="DP132" s="265"/>
      <c r="DQ132" s="265"/>
      <c r="DR132" s="265"/>
      <c r="DS132" s="265"/>
      <c r="DT132" s="265"/>
      <c r="DU132" s="265"/>
      <c r="DV132" s="265"/>
      <c r="DW132" s="265"/>
      <c r="DX132" s="265"/>
      <c r="DY132" s="265"/>
      <c r="DZ132" s="265"/>
      <c r="EA132" s="265"/>
      <c r="EB132" s="265"/>
      <c r="EC132" s="265"/>
      <c r="ED132" s="265"/>
      <c r="EE132" s="265"/>
      <c r="EF132" s="265"/>
      <c r="EG132" s="265"/>
      <c r="EH132" s="265"/>
      <c r="EI132" s="265"/>
      <c r="EJ132" s="265"/>
      <c r="EK132" s="265"/>
      <c r="EL132" s="265"/>
      <c r="EM132" s="265"/>
      <c r="EN132" s="265"/>
      <c r="EO132" s="265"/>
      <c r="EP132" s="265"/>
      <c r="EQ132" s="265"/>
      <c r="ER132" s="265"/>
      <c r="ES132" s="265"/>
      <c r="ET132" s="265"/>
      <c r="EU132" s="265"/>
      <c r="EV132" s="265"/>
      <c r="EW132" s="265"/>
      <c r="EX132" s="265"/>
      <c r="EY132" s="265"/>
      <c r="EZ132" s="265"/>
      <c r="FA132" s="265"/>
      <c r="FB132" s="265"/>
      <c r="FC132" s="265"/>
      <c r="FD132" s="265"/>
      <c r="FE132" s="265"/>
      <c r="FF132" s="265"/>
      <c r="FG132" s="265"/>
      <c r="FH132" s="265"/>
      <c r="FI132" s="265"/>
      <c r="FJ132" s="265"/>
      <c r="FK132" s="265"/>
      <c r="FL132" s="265"/>
      <c r="FM132" s="265"/>
      <c r="FN132" s="427"/>
      <c r="FO132" s="268"/>
      <c r="FP132" s="265"/>
      <c r="FQ132" s="265"/>
      <c r="FR132" s="269"/>
      <c r="FS132" s="202"/>
      <c r="FT132" s="202"/>
      <c r="FU132" s="202"/>
      <c r="FV132" s="202"/>
      <c r="FW132" s="202"/>
      <c r="FX132" s="202"/>
      <c r="FY132" s="202"/>
      <c r="FZ132" s="203"/>
      <c r="GA132" s="19"/>
      <c r="GD132" s="268"/>
      <c r="GE132" s="265"/>
      <c r="GF132" s="265"/>
      <c r="GG132" s="265"/>
      <c r="GH132" s="265"/>
      <c r="GI132" s="269"/>
      <c r="GJ132" s="10"/>
      <c r="GK132" s="10"/>
      <c r="GL132" s="10"/>
      <c r="GM132" s="10"/>
    </row>
    <row r="133" spans="1:195" s="75" customFormat="1" ht="12" hidden="1" customHeight="1">
      <c r="F133" s="200"/>
      <c r="G133" s="406"/>
      <c r="H133" s="411"/>
      <c r="I133" s="412"/>
      <c r="J133" s="417"/>
      <c r="K133" s="417"/>
      <c r="L133" s="419"/>
      <c r="M133" s="418"/>
      <c r="N133" s="418"/>
      <c r="O133" s="418"/>
      <c r="P133" s="415"/>
      <c r="Q133" s="416"/>
      <c r="R133" s="426"/>
      <c r="S133" s="410"/>
      <c r="T133" s="432"/>
      <c r="U133" s="412"/>
      <c r="V133"/>
      <c r="W133"/>
      <c r="X133"/>
      <c r="Y133" s="425"/>
      <c r="Z133" s="112"/>
      <c r="AA133" s="424">
        <v>1</v>
      </c>
      <c r="AB133" s="413" t="s">
        <v>1524</v>
      </c>
      <c r="AC133" s="114" t="s">
        <v>1650</v>
      </c>
      <c r="AD133" s="191" t="str">
        <f t="shared" ref="AD133:AD150" si="0">AC133 &amp; " :: " &amp; FL133</f>
        <v>Газ лимитный :: ACTI</v>
      </c>
      <c r="AE133" s="117"/>
      <c r="AF133" s="116">
        <f t="shared" ref="AF133:AF141" si="1">IF($FK133="да",AE133*1.18,AE133)</f>
        <v>0</v>
      </c>
      <c r="AG133" s="117"/>
      <c r="AH133" s="116">
        <f>IF($FK133="да",AG133*1.18,AG133)</f>
        <v>0</v>
      </c>
      <c r="AI133" s="185">
        <f t="shared" ref="AI133:AI141" si="2">IF(AM133=0,0,AN133/AM133*1000)</f>
        <v>0</v>
      </c>
      <c r="AJ133" s="185">
        <f t="shared" ref="AJ133:AJ141" si="3">IF(AM133=0,0,AO133/AM133*1000)</f>
        <v>0</v>
      </c>
      <c r="AK133" s="122"/>
      <c r="AL133" s="122"/>
      <c r="AM133" s="123">
        <f t="shared" ref="AM133:AM141" si="4">AK133*AL133</f>
        <v>0</v>
      </c>
      <c r="AN133" s="123">
        <f>AG133*AK133/1000</f>
        <v>0</v>
      </c>
      <c r="AO133" s="116">
        <f t="shared" ref="AO133:AO141" si="5">IF($FK133="да",AN133*1.18,AN133)</f>
        <v>0</v>
      </c>
      <c r="AP133" s="117"/>
      <c r="AQ133" s="116">
        <f>IF($FK133="да",AP133*1.18,AP133)</f>
        <v>0</v>
      </c>
      <c r="AR133" s="117"/>
      <c r="AS133" s="115"/>
      <c r="AT133" s="115"/>
      <c r="AU133" s="115"/>
      <c r="AV133" s="115"/>
      <c r="AW133" s="115"/>
      <c r="AX133" s="115"/>
      <c r="AY133" s="115"/>
      <c r="AZ133" s="115"/>
      <c r="BA133" s="115"/>
      <c r="BB133" s="115"/>
      <c r="BC133" s="115"/>
      <c r="BD133" s="115"/>
      <c r="BE133" s="115"/>
      <c r="BF133" s="115"/>
      <c r="BG133" s="115"/>
      <c r="BH133" s="115"/>
      <c r="BI133" s="115"/>
      <c r="BJ133" s="115"/>
      <c r="BK133" s="115"/>
      <c r="BL133" s="115"/>
      <c r="BM133" s="218"/>
      <c r="BN133" s="116">
        <f t="shared" ref="BN133:BN141" si="6">IF($FK133="да",BM133*1.18,BM133)</f>
        <v>0</v>
      </c>
      <c r="BO133" s="218"/>
      <c r="BP133" s="116">
        <f>IF($FK133="да",BO133*1.18,BO133)</f>
        <v>0</v>
      </c>
      <c r="BQ133" s="185">
        <f t="shared" ref="BQ133:BQ141" si="7">IF(BU133=0,0,BV133/BU133*1000)</f>
        <v>0</v>
      </c>
      <c r="BR133" s="185">
        <f t="shared" ref="BR133:BR141" si="8">IF(BU133=0,0,BW133/BU133*1000)</f>
        <v>0</v>
      </c>
      <c r="BS133" s="365"/>
      <c r="BT133" s="365"/>
      <c r="BU133" s="123">
        <f t="shared" ref="BU133:BU141" si="9">BS133*BT133</f>
        <v>0</v>
      </c>
      <c r="BV133" s="123">
        <f>BO133*BS133/1000</f>
        <v>0</v>
      </c>
      <c r="BW133" s="116">
        <f t="shared" ref="BW133:BW141" si="10">IF($FK133="да",BV133*1.18,BV133)</f>
        <v>0</v>
      </c>
      <c r="BX133" s="218"/>
      <c r="BY133" s="116">
        <f>IF($FK133="да",BX133*1.18,BX133)</f>
        <v>0</v>
      </c>
      <c r="BZ133" s="218"/>
      <c r="CA133" s="115"/>
      <c r="CB133" s="115"/>
      <c r="CC133" s="115"/>
      <c r="CD133" s="115"/>
      <c r="CE133" s="115"/>
      <c r="CF133" s="115"/>
      <c r="CG133" s="115"/>
      <c r="CH133" s="115"/>
      <c r="CI133" s="115"/>
      <c r="CJ133" s="115"/>
      <c r="CK133" s="115"/>
      <c r="CL133" s="115"/>
      <c r="CM133" s="115"/>
      <c r="CN133" s="115"/>
      <c r="CO133" s="115"/>
      <c r="CP133" s="115"/>
      <c r="CQ133" s="115"/>
      <c r="CR133" s="115"/>
      <c r="CS133" s="115"/>
      <c r="CT133" s="115"/>
      <c r="CU133" s="218"/>
      <c r="CV133" s="116">
        <f t="shared" ref="CV133:CV141" si="11">IF($FK133="да",CU133*1.18,CU133)</f>
        <v>0</v>
      </c>
      <c r="CW133" s="218"/>
      <c r="CX133" s="116">
        <f>IF($FK133="да",CW133*1.18,CW133)</f>
        <v>0</v>
      </c>
      <c r="CY133" s="185">
        <f t="shared" ref="CY133:CY141" si="12">IF(DC133=0,0,DD133/DC133*1000)</f>
        <v>0</v>
      </c>
      <c r="CZ133" s="185">
        <f t="shared" ref="CZ133:CZ141" si="13">IF(DC133=0,0,DE133/DC133*1000)</f>
        <v>0</v>
      </c>
      <c r="DA133" s="365"/>
      <c r="DB133" s="365"/>
      <c r="DC133" s="123">
        <f t="shared" ref="DC133:DC141" si="14">DA133*DB133</f>
        <v>0</v>
      </c>
      <c r="DD133" s="123">
        <f>CW133*DA133/1000</f>
        <v>0</v>
      </c>
      <c r="DE133" s="116">
        <f t="shared" ref="DE133:DE141" si="15">IF($FK133="да",DD133*1.18,DD133)</f>
        <v>0</v>
      </c>
      <c r="DF133" s="218"/>
      <c r="DG133" s="116">
        <f>IF($FK133="да",DF133*1.18,DF133)</f>
        <v>0</v>
      </c>
      <c r="DH133" s="218"/>
      <c r="DI133" s="115"/>
      <c r="DJ133" s="115"/>
      <c r="DK133" s="115"/>
      <c r="DL133" s="115"/>
      <c r="DM133" s="115"/>
      <c r="DN133" s="115"/>
      <c r="DO133" s="115"/>
      <c r="DP133" s="115"/>
      <c r="DQ133" s="115"/>
      <c r="DR133" s="115"/>
      <c r="DS133" s="115"/>
      <c r="DT133" s="115"/>
      <c r="DU133" s="115"/>
      <c r="DV133" s="115"/>
      <c r="DW133" s="115"/>
      <c r="DX133" s="115"/>
      <c r="DY133" s="115"/>
      <c r="DZ133" s="115"/>
      <c r="EA133" s="115"/>
      <c r="EB133" s="115"/>
      <c r="EC133" s="218"/>
      <c r="ED133" s="116">
        <f t="shared" ref="ED133:ED141" si="16">IF($FK133="да",EC133*1.18,EC133)</f>
        <v>0</v>
      </c>
      <c r="EE133" s="218"/>
      <c r="EF133" s="116">
        <f>IF($FK133="да",EE133*1.18,EE133)</f>
        <v>0</v>
      </c>
      <c r="EG133" s="185">
        <f t="shared" ref="EG133:EG141" si="17">IF(EK133=0,0,EL133/EK133*1000)</f>
        <v>0</v>
      </c>
      <c r="EH133" s="185">
        <f t="shared" ref="EH133:EH141" si="18">IF(EK133=0,0,EM133/EK133*1000)</f>
        <v>0</v>
      </c>
      <c r="EI133" s="365"/>
      <c r="EJ133" s="365"/>
      <c r="EK133" s="123">
        <f t="shared" ref="EK133:EK141" si="19">EI133*EJ133</f>
        <v>0</v>
      </c>
      <c r="EL133" s="123">
        <f>EE133*EI133/1000</f>
        <v>0</v>
      </c>
      <c r="EM133" s="116">
        <f t="shared" ref="EM133:EM141" si="20">IF($FK133="да",EL133*1.18,EL133)</f>
        <v>0</v>
      </c>
      <c r="EN133" s="218"/>
      <c r="EO133" s="116">
        <f>IF($FK133="да",EN133*1.18,EN133)</f>
        <v>0</v>
      </c>
      <c r="EP133" s="218"/>
      <c r="EQ133" s="115"/>
      <c r="ER133" s="115"/>
      <c r="ES133" s="115"/>
      <c r="ET133" s="115"/>
      <c r="EU133" s="115"/>
      <c r="EV133" s="115"/>
      <c r="EW133" s="115"/>
      <c r="EX133" s="115"/>
      <c r="EY133" s="115"/>
      <c r="EZ133" s="115"/>
      <c r="FA133" s="115"/>
      <c r="FB133" s="115"/>
      <c r="FC133" s="115"/>
      <c r="FD133" s="115"/>
      <c r="FE133" s="115"/>
      <c r="FF133" s="115"/>
      <c r="FG133" s="115"/>
      <c r="FH133" s="115"/>
      <c r="FI133" s="115"/>
      <c r="FJ133" s="115"/>
      <c r="FK133" s="110">
        <f>$T132</f>
        <v>0</v>
      </c>
      <c r="FL133" s="118" t="str">
        <f>IF($G132="","ACTI","DELD")</f>
        <v>ACTI</v>
      </c>
      <c r="FM133" s="119" t="str">
        <f>$I132 &amp; "." &amp; $AA133 &amp; ".1"</f>
        <v>.1.1</v>
      </c>
      <c r="FN133" s="427"/>
      <c r="FO133" s="423"/>
      <c r="FP133" s="420"/>
      <c r="FQ133" s="420"/>
      <c r="FR133" s="420"/>
      <c r="FS133" s="204">
        <f t="shared" ref="FS133:FS150" si="21">SUM(AE133:FJ133)</f>
        <v>0</v>
      </c>
      <c r="FT133" s="9"/>
      <c r="FU133" s="9"/>
      <c r="FV133" s="9"/>
      <c r="FW133" s="9"/>
      <c r="FX133" s="205"/>
      <c r="FY133" s="9"/>
      <c r="FZ133" s="206"/>
      <c r="GA133" s="46"/>
      <c r="GD133" s="192">
        <f>M132</f>
        <v>0</v>
      </c>
      <c r="GE133" s="192">
        <f>N132</f>
        <v>0</v>
      </c>
      <c r="GF133" s="193" t="str">
        <f>MID(Q132,1,50) &amp; LEN(Q132)</f>
        <v>0</v>
      </c>
      <c r="GG133" s="192" t="str">
        <f>IF(S132="производство комбинированная выработка","COGENERATION","HEATING")</f>
        <v>HEATING</v>
      </c>
      <c r="GH133" s="194" t="str">
        <f>AD133</f>
        <v>Газ лимитный :: ACTI</v>
      </c>
      <c r="GI133" s="194" t="str">
        <f>GD133 &amp; "::" &amp; GE133 &amp; "::" &amp; GF133 &amp; "::" &amp; GG133 &amp; "::" &amp; GH133</f>
        <v>0::0::0::HEATING::Газ лимитный :: ACTI</v>
      </c>
      <c r="GJ133" s="10"/>
      <c r="GK133" s="10"/>
      <c r="GL133" s="10"/>
      <c r="GM133" s="10"/>
    </row>
    <row r="134" spans="1:195" s="75" customFormat="1" ht="12" hidden="1" customHeight="1">
      <c r="F134" s="200"/>
      <c r="G134" s="406"/>
      <c r="H134" s="411"/>
      <c r="I134" s="412"/>
      <c r="J134" s="417"/>
      <c r="K134" s="417"/>
      <c r="L134" s="419"/>
      <c r="M134" s="418"/>
      <c r="N134" s="418"/>
      <c r="O134" s="418"/>
      <c r="P134" s="415"/>
      <c r="Q134" s="416"/>
      <c r="R134" s="426"/>
      <c r="S134" s="410"/>
      <c r="T134" s="432"/>
      <c r="U134" s="412"/>
      <c r="V134"/>
      <c r="W134"/>
      <c r="X134"/>
      <c r="Y134" s="425"/>
      <c r="Z134" s="112"/>
      <c r="AA134" s="424"/>
      <c r="AB134" s="421"/>
      <c r="AC134" s="114" t="s">
        <v>1651</v>
      </c>
      <c r="AD134" s="191" t="str">
        <f t="shared" si="0"/>
        <v>Газ сверхлимитный :: ACTI</v>
      </c>
      <c r="AE134" s="117"/>
      <c r="AF134" s="116">
        <f t="shared" si="1"/>
        <v>0</v>
      </c>
      <c r="AG134" s="117"/>
      <c r="AH134" s="116">
        <f>IF($FK134="да",AG134*1.18,AG134)</f>
        <v>0</v>
      </c>
      <c r="AI134" s="185">
        <f t="shared" si="2"/>
        <v>0</v>
      </c>
      <c r="AJ134" s="185">
        <f t="shared" si="3"/>
        <v>0</v>
      </c>
      <c r="AK134" s="122"/>
      <c r="AL134" s="122"/>
      <c r="AM134" s="123">
        <f t="shared" si="4"/>
        <v>0</v>
      </c>
      <c r="AN134" s="123">
        <f>AG134*AK134/1000</f>
        <v>0</v>
      </c>
      <c r="AO134" s="116">
        <f t="shared" si="5"/>
        <v>0</v>
      </c>
      <c r="AP134" s="117"/>
      <c r="AQ134" s="116">
        <f>IF($FK134="да",AP134*1.18,AP134)</f>
        <v>0</v>
      </c>
      <c r="AR134" s="117"/>
      <c r="AS134" s="115"/>
      <c r="AT134" s="115"/>
      <c r="AU134" s="115"/>
      <c r="AV134" s="115"/>
      <c r="AW134" s="115"/>
      <c r="AX134" s="115"/>
      <c r="AY134" s="115"/>
      <c r="AZ134" s="115"/>
      <c r="BA134" s="115"/>
      <c r="BB134" s="115"/>
      <c r="BC134" s="115"/>
      <c r="BD134" s="115"/>
      <c r="BE134" s="115"/>
      <c r="BF134" s="115"/>
      <c r="BG134" s="115"/>
      <c r="BH134" s="115"/>
      <c r="BI134" s="115"/>
      <c r="BJ134" s="115"/>
      <c r="BK134" s="115"/>
      <c r="BL134" s="115"/>
      <c r="BM134" s="218"/>
      <c r="BN134" s="116">
        <f t="shared" si="6"/>
        <v>0</v>
      </c>
      <c r="BO134" s="218"/>
      <c r="BP134" s="116">
        <f>IF($FK134="да",BO134*1.18,BO134)</f>
        <v>0</v>
      </c>
      <c r="BQ134" s="185">
        <f t="shared" si="7"/>
        <v>0</v>
      </c>
      <c r="BR134" s="185">
        <f t="shared" si="8"/>
        <v>0</v>
      </c>
      <c r="BS134" s="365"/>
      <c r="BT134" s="365"/>
      <c r="BU134" s="123">
        <f t="shared" si="9"/>
        <v>0</v>
      </c>
      <c r="BV134" s="123">
        <f>BO134*BS134/1000</f>
        <v>0</v>
      </c>
      <c r="BW134" s="116">
        <f t="shared" si="10"/>
        <v>0</v>
      </c>
      <c r="BX134" s="218"/>
      <c r="BY134" s="116">
        <f>IF($FK134="да",BX134*1.18,BX134)</f>
        <v>0</v>
      </c>
      <c r="BZ134" s="218"/>
      <c r="CA134" s="115"/>
      <c r="CB134" s="115"/>
      <c r="CC134" s="115"/>
      <c r="CD134" s="115"/>
      <c r="CE134" s="115"/>
      <c r="CF134" s="115"/>
      <c r="CG134" s="115"/>
      <c r="CH134" s="115"/>
      <c r="CI134" s="115"/>
      <c r="CJ134" s="115"/>
      <c r="CK134" s="115"/>
      <c r="CL134" s="115"/>
      <c r="CM134" s="115"/>
      <c r="CN134" s="115"/>
      <c r="CO134" s="115"/>
      <c r="CP134" s="115"/>
      <c r="CQ134" s="115"/>
      <c r="CR134" s="115"/>
      <c r="CS134" s="115"/>
      <c r="CT134" s="115"/>
      <c r="CU134" s="218"/>
      <c r="CV134" s="116">
        <f t="shared" si="11"/>
        <v>0</v>
      </c>
      <c r="CW134" s="218"/>
      <c r="CX134" s="116">
        <f>IF($FK134="да",CW134*1.18,CW134)</f>
        <v>0</v>
      </c>
      <c r="CY134" s="185">
        <f t="shared" si="12"/>
        <v>0</v>
      </c>
      <c r="CZ134" s="185">
        <f t="shared" si="13"/>
        <v>0</v>
      </c>
      <c r="DA134" s="365"/>
      <c r="DB134" s="365"/>
      <c r="DC134" s="123">
        <f t="shared" si="14"/>
        <v>0</v>
      </c>
      <c r="DD134" s="123">
        <f>CW134*DA134/1000</f>
        <v>0</v>
      </c>
      <c r="DE134" s="116">
        <f t="shared" si="15"/>
        <v>0</v>
      </c>
      <c r="DF134" s="218"/>
      <c r="DG134" s="116">
        <f>IF($FK134="да",DF134*1.18,DF134)</f>
        <v>0</v>
      </c>
      <c r="DH134" s="218"/>
      <c r="DI134" s="115"/>
      <c r="DJ134" s="115"/>
      <c r="DK134" s="115"/>
      <c r="DL134" s="115"/>
      <c r="DM134" s="115"/>
      <c r="DN134" s="115"/>
      <c r="DO134" s="115"/>
      <c r="DP134" s="115"/>
      <c r="DQ134" s="115"/>
      <c r="DR134" s="115"/>
      <c r="DS134" s="115"/>
      <c r="DT134" s="115"/>
      <c r="DU134" s="115"/>
      <c r="DV134" s="115"/>
      <c r="DW134" s="115"/>
      <c r="DX134" s="115"/>
      <c r="DY134" s="115"/>
      <c r="DZ134" s="115"/>
      <c r="EA134" s="115"/>
      <c r="EB134" s="115"/>
      <c r="EC134" s="218"/>
      <c r="ED134" s="116">
        <f t="shared" si="16"/>
        <v>0</v>
      </c>
      <c r="EE134" s="218"/>
      <c r="EF134" s="116">
        <f>IF($FK134="да",EE134*1.18,EE134)</f>
        <v>0</v>
      </c>
      <c r="EG134" s="185">
        <f t="shared" si="17"/>
        <v>0</v>
      </c>
      <c r="EH134" s="185">
        <f t="shared" si="18"/>
        <v>0</v>
      </c>
      <c r="EI134" s="365"/>
      <c r="EJ134" s="365"/>
      <c r="EK134" s="123">
        <f t="shared" si="19"/>
        <v>0</v>
      </c>
      <c r="EL134" s="123">
        <f>EE134*EI134/1000</f>
        <v>0</v>
      </c>
      <c r="EM134" s="116">
        <f t="shared" si="20"/>
        <v>0</v>
      </c>
      <c r="EN134" s="218"/>
      <c r="EO134" s="116">
        <f>IF($FK134="да",EN134*1.18,EN134)</f>
        <v>0</v>
      </c>
      <c r="EP134" s="218"/>
      <c r="EQ134" s="115"/>
      <c r="ER134" s="115"/>
      <c r="ES134" s="115"/>
      <c r="ET134" s="115"/>
      <c r="EU134" s="115"/>
      <c r="EV134" s="115"/>
      <c r="EW134" s="115"/>
      <c r="EX134" s="115"/>
      <c r="EY134" s="115"/>
      <c r="EZ134" s="115"/>
      <c r="FA134" s="115"/>
      <c r="FB134" s="115"/>
      <c r="FC134" s="115"/>
      <c r="FD134" s="115"/>
      <c r="FE134" s="115"/>
      <c r="FF134" s="115"/>
      <c r="FG134" s="115"/>
      <c r="FH134" s="115"/>
      <c r="FI134" s="115"/>
      <c r="FJ134" s="115"/>
      <c r="FK134" s="110">
        <f>$T132</f>
        <v>0</v>
      </c>
      <c r="FL134" s="118" t="str">
        <f>IF($G132="","ACTI","DELD")</f>
        <v>ACTI</v>
      </c>
      <c r="FM134" s="119" t="str">
        <f>$I132 &amp; "." &amp; $AA133 &amp; ".2"</f>
        <v>.1.2</v>
      </c>
      <c r="FN134" s="427"/>
      <c r="FO134" s="423"/>
      <c r="FP134" s="420"/>
      <c r="FQ134" s="420"/>
      <c r="FR134" s="420"/>
      <c r="FS134" s="204">
        <f t="shared" si="21"/>
        <v>0</v>
      </c>
      <c r="FT134" s="9"/>
      <c r="FU134" s="9"/>
      <c r="FV134" s="9"/>
      <c r="FW134" s="9"/>
      <c r="FX134" s="205"/>
      <c r="FY134" s="9"/>
      <c r="FZ134" s="206"/>
      <c r="GA134" s="46"/>
      <c r="GD134" s="192">
        <f>M132</f>
        <v>0</v>
      </c>
      <c r="GE134" s="192">
        <f>N132</f>
        <v>0</v>
      </c>
      <c r="GF134" s="193" t="str">
        <f>MID(Q132,1,50) &amp; LEN(Q132)</f>
        <v>0</v>
      </c>
      <c r="GG134" s="192" t="str">
        <f>IF(S132="производство комбинированная выработка","COGENERATION","HEATING")</f>
        <v>HEATING</v>
      </c>
      <c r="GH134" s="194" t="str">
        <f t="shared" ref="GH134:GH150" si="22">AD134</f>
        <v>Газ сверхлимитный :: ACTI</v>
      </c>
      <c r="GI134" s="194" t="str">
        <f t="shared" ref="GI134:GI150" si="23">GD134 &amp; "::" &amp; GE134 &amp; "::" &amp; GF134 &amp; "::" &amp; GG134 &amp; "::" &amp; GH134</f>
        <v>0::0::0::HEATING::Газ сверхлимитный :: ACTI</v>
      </c>
      <c r="GJ134" s="10"/>
      <c r="GK134" s="10"/>
      <c r="GL134" s="10"/>
      <c r="GM134" s="10"/>
    </row>
    <row r="135" spans="1:195" s="75" customFormat="1" ht="12" hidden="1" customHeight="1">
      <c r="F135" s="200"/>
      <c r="G135" s="406"/>
      <c r="H135" s="411"/>
      <c r="I135" s="412"/>
      <c r="J135" s="417"/>
      <c r="K135" s="417"/>
      <c r="L135" s="419"/>
      <c r="M135" s="418"/>
      <c r="N135" s="418"/>
      <c r="O135" s="418"/>
      <c r="P135" s="415"/>
      <c r="Q135" s="416"/>
      <c r="R135" s="426"/>
      <c r="S135" s="410"/>
      <c r="T135" s="432"/>
      <c r="U135" s="412"/>
      <c r="V135"/>
      <c r="W135"/>
      <c r="X135"/>
      <c r="Y135" s="425"/>
      <c r="Z135" s="112"/>
      <c r="AA135" s="424"/>
      <c r="AB135" s="421"/>
      <c r="AC135" s="120" t="s">
        <v>1652</v>
      </c>
      <c r="AD135" s="191" t="str">
        <f t="shared" si="0"/>
        <v>Газ коммерческий :: ACTI</v>
      </c>
      <c r="AE135" s="117"/>
      <c r="AF135" s="116">
        <f t="shared" si="1"/>
        <v>0</v>
      </c>
      <c r="AG135" s="117"/>
      <c r="AH135" s="116">
        <f>IF($FK135="да",AG135*1.18,AG135)</f>
        <v>0</v>
      </c>
      <c r="AI135" s="185">
        <f t="shared" si="2"/>
        <v>0</v>
      </c>
      <c r="AJ135" s="185">
        <f t="shared" si="3"/>
        <v>0</v>
      </c>
      <c r="AK135" s="122"/>
      <c r="AL135" s="122"/>
      <c r="AM135" s="123">
        <f t="shared" si="4"/>
        <v>0</v>
      </c>
      <c r="AN135" s="123">
        <f>AG135*AK135/1000</f>
        <v>0</v>
      </c>
      <c r="AO135" s="116">
        <f t="shared" si="5"/>
        <v>0</v>
      </c>
      <c r="AP135" s="115"/>
      <c r="AQ135" s="115"/>
      <c r="AR135" s="115"/>
      <c r="AS135" s="115"/>
      <c r="AT135" s="115"/>
      <c r="AU135" s="115"/>
      <c r="AV135" s="115"/>
      <c r="AW135" s="115"/>
      <c r="AX135" s="115"/>
      <c r="AY135" s="115"/>
      <c r="AZ135" s="115"/>
      <c r="BA135" s="115"/>
      <c r="BB135" s="115"/>
      <c r="BC135" s="115"/>
      <c r="BD135" s="115"/>
      <c r="BE135" s="115"/>
      <c r="BF135" s="115"/>
      <c r="BG135" s="115"/>
      <c r="BH135" s="115"/>
      <c r="BI135" s="115"/>
      <c r="BJ135" s="115"/>
      <c r="BK135" s="115"/>
      <c r="BL135" s="115"/>
      <c r="BM135" s="218"/>
      <c r="BN135" s="116">
        <f t="shared" si="6"/>
        <v>0</v>
      </c>
      <c r="BO135" s="218"/>
      <c r="BP135" s="116">
        <f>IF($FK135="да",BO135*1.18,BO135)</f>
        <v>0</v>
      </c>
      <c r="BQ135" s="185">
        <f t="shared" si="7"/>
        <v>0</v>
      </c>
      <c r="BR135" s="185">
        <f t="shared" si="8"/>
        <v>0</v>
      </c>
      <c r="BS135" s="365"/>
      <c r="BT135" s="365"/>
      <c r="BU135" s="123">
        <f t="shared" si="9"/>
        <v>0</v>
      </c>
      <c r="BV135" s="123">
        <f>BO135*BS135/1000</f>
        <v>0</v>
      </c>
      <c r="BW135" s="116">
        <f t="shared" si="10"/>
        <v>0</v>
      </c>
      <c r="BX135" s="115"/>
      <c r="BY135" s="115"/>
      <c r="BZ135" s="115"/>
      <c r="CA135" s="115"/>
      <c r="CB135" s="115"/>
      <c r="CC135" s="115"/>
      <c r="CD135" s="115"/>
      <c r="CE135" s="115"/>
      <c r="CF135" s="115"/>
      <c r="CG135" s="115"/>
      <c r="CH135" s="115"/>
      <c r="CI135" s="115"/>
      <c r="CJ135" s="115"/>
      <c r="CK135" s="115"/>
      <c r="CL135" s="115"/>
      <c r="CM135" s="115"/>
      <c r="CN135" s="115"/>
      <c r="CO135" s="115"/>
      <c r="CP135" s="115"/>
      <c r="CQ135" s="115"/>
      <c r="CR135" s="115"/>
      <c r="CS135" s="115"/>
      <c r="CT135" s="115"/>
      <c r="CU135" s="218"/>
      <c r="CV135" s="116">
        <f t="shared" si="11"/>
        <v>0</v>
      </c>
      <c r="CW135" s="218"/>
      <c r="CX135" s="116">
        <f>IF($FK135="да",CW135*1.18,CW135)</f>
        <v>0</v>
      </c>
      <c r="CY135" s="185">
        <f t="shared" si="12"/>
        <v>0</v>
      </c>
      <c r="CZ135" s="185">
        <f t="shared" si="13"/>
        <v>0</v>
      </c>
      <c r="DA135" s="365"/>
      <c r="DB135" s="365"/>
      <c r="DC135" s="123">
        <f t="shared" si="14"/>
        <v>0</v>
      </c>
      <c r="DD135" s="123">
        <f>CW135*DA135/1000</f>
        <v>0</v>
      </c>
      <c r="DE135" s="116">
        <f t="shared" si="15"/>
        <v>0</v>
      </c>
      <c r="DF135" s="115"/>
      <c r="DG135" s="115"/>
      <c r="DH135" s="115"/>
      <c r="DI135" s="115"/>
      <c r="DJ135" s="115"/>
      <c r="DK135" s="115"/>
      <c r="DL135" s="115"/>
      <c r="DM135" s="115"/>
      <c r="DN135" s="115"/>
      <c r="DO135" s="115"/>
      <c r="DP135" s="115"/>
      <c r="DQ135" s="115"/>
      <c r="DR135" s="115"/>
      <c r="DS135" s="115"/>
      <c r="DT135" s="115"/>
      <c r="DU135" s="115"/>
      <c r="DV135" s="115"/>
      <c r="DW135" s="115"/>
      <c r="DX135" s="115"/>
      <c r="DY135" s="115"/>
      <c r="DZ135" s="115"/>
      <c r="EA135" s="115"/>
      <c r="EB135" s="115"/>
      <c r="EC135" s="218"/>
      <c r="ED135" s="116">
        <f t="shared" si="16"/>
        <v>0</v>
      </c>
      <c r="EE135" s="218"/>
      <c r="EF135" s="116">
        <f>IF($FK135="да",EE135*1.18,EE135)</f>
        <v>0</v>
      </c>
      <c r="EG135" s="185">
        <f t="shared" si="17"/>
        <v>0</v>
      </c>
      <c r="EH135" s="185">
        <f t="shared" si="18"/>
        <v>0</v>
      </c>
      <c r="EI135" s="365"/>
      <c r="EJ135" s="365"/>
      <c r="EK135" s="123">
        <f t="shared" si="19"/>
        <v>0</v>
      </c>
      <c r="EL135" s="123">
        <f>EE135*EI135/1000</f>
        <v>0</v>
      </c>
      <c r="EM135" s="116">
        <f t="shared" si="20"/>
        <v>0</v>
      </c>
      <c r="EN135" s="115"/>
      <c r="EO135" s="115"/>
      <c r="EP135" s="115"/>
      <c r="EQ135" s="115"/>
      <c r="ER135" s="115"/>
      <c r="ES135" s="115"/>
      <c r="ET135" s="115"/>
      <c r="EU135" s="115"/>
      <c r="EV135" s="115"/>
      <c r="EW135" s="115"/>
      <c r="EX135" s="115"/>
      <c r="EY135" s="115"/>
      <c r="EZ135" s="115"/>
      <c r="FA135" s="115"/>
      <c r="FB135" s="115"/>
      <c r="FC135" s="115"/>
      <c r="FD135" s="115"/>
      <c r="FE135" s="115"/>
      <c r="FF135" s="115"/>
      <c r="FG135" s="115"/>
      <c r="FH135" s="115"/>
      <c r="FI135" s="115"/>
      <c r="FJ135" s="115"/>
      <c r="FK135" s="110">
        <f>$T132</f>
        <v>0</v>
      </c>
      <c r="FL135" s="118" t="str">
        <f>IF($G132="","ACTI","DELD")</f>
        <v>ACTI</v>
      </c>
      <c r="FM135" s="119" t="str">
        <f>$I132 &amp; "." &amp; $AA133 &amp; ".3"</f>
        <v>.1.3</v>
      </c>
      <c r="FN135" s="427"/>
      <c r="FO135" s="423"/>
      <c r="FP135" s="420"/>
      <c r="FQ135" s="420"/>
      <c r="FR135" s="420"/>
      <c r="FS135" s="204">
        <f t="shared" si="21"/>
        <v>0</v>
      </c>
      <c r="FT135" s="9"/>
      <c r="FU135" s="9"/>
      <c r="FV135" s="9"/>
      <c r="FW135" s="9"/>
      <c r="FX135" s="205"/>
      <c r="FY135" s="9"/>
      <c r="FZ135" s="206"/>
      <c r="GA135" s="46"/>
      <c r="GD135" s="192">
        <f>M132</f>
        <v>0</v>
      </c>
      <c r="GE135" s="192">
        <f>N132</f>
        <v>0</v>
      </c>
      <c r="GF135" s="193" t="str">
        <f>MID(Q132,1,50) &amp; LEN(Q132)</f>
        <v>0</v>
      </c>
      <c r="GG135" s="192" t="str">
        <f>IF(S132="производство комбинированная выработка","COGENERATION","HEATING")</f>
        <v>HEATING</v>
      </c>
      <c r="GH135" s="194" t="str">
        <f t="shared" si="22"/>
        <v>Газ коммерческий :: ACTI</v>
      </c>
      <c r="GI135" s="194" t="str">
        <f t="shared" si="23"/>
        <v>0::0::0::HEATING::Газ коммерческий :: ACTI</v>
      </c>
      <c r="GJ135" s="10"/>
      <c r="GK135" s="10"/>
      <c r="GL135" s="10"/>
      <c r="GM135" s="10"/>
    </row>
    <row r="136" spans="1:195" s="75" customFormat="1" ht="12" hidden="1" customHeight="1">
      <c r="F136" s="200"/>
      <c r="G136" s="406"/>
      <c r="H136" s="411"/>
      <c r="I136" s="412"/>
      <c r="J136" s="417"/>
      <c r="K136" s="417"/>
      <c r="L136" s="419"/>
      <c r="M136" s="418"/>
      <c r="N136" s="418"/>
      <c r="O136" s="418"/>
      <c r="P136" s="415"/>
      <c r="Q136" s="416"/>
      <c r="R136" s="426"/>
      <c r="S136" s="410"/>
      <c r="T136" s="432"/>
      <c r="U136" s="412"/>
      <c r="V136"/>
      <c r="W136"/>
      <c r="X136"/>
      <c r="Y136" s="425"/>
      <c r="Z136" s="112"/>
      <c r="AA136" s="111">
        <v>2</v>
      </c>
      <c r="AB136" s="113" t="s">
        <v>1741</v>
      </c>
      <c r="AC136" s="121" t="str">
        <f t="shared" ref="AC136:AC141" si="24">AB136</f>
        <v>Газовый конденсат</v>
      </c>
      <c r="AD136" s="191" t="str">
        <f t="shared" si="0"/>
        <v>Газовый конденсат :: ACTI</v>
      </c>
      <c r="AE136" s="122"/>
      <c r="AF136" s="116">
        <f t="shared" si="1"/>
        <v>0</v>
      </c>
      <c r="AG136" s="185">
        <f t="shared" ref="AG136:AG141" si="25">IF(AK136=0,0,AN136/AK136*1000)</f>
        <v>0</v>
      </c>
      <c r="AH136" s="185">
        <f t="shared" ref="AH136:AH141" si="26">IF(AK136=0,0,AO136/AK136*1000)</f>
        <v>0</v>
      </c>
      <c r="AI136" s="185">
        <f t="shared" si="2"/>
        <v>0</v>
      </c>
      <c r="AJ136" s="185">
        <f t="shared" si="3"/>
        <v>0</v>
      </c>
      <c r="AK136" s="122"/>
      <c r="AL136" s="122"/>
      <c r="AM136" s="123">
        <f t="shared" si="4"/>
        <v>0</v>
      </c>
      <c r="AN136" s="123">
        <f t="shared" ref="AN136:AN141" si="27">AE136*AK136/1000+AV136+BA136+BF136</f>
        <v>0</v>
      </c>
      <c r="AO136" s="116">
        <f t="shared" si="5"/>
        <v>0</v>
      </c>
      <c r="AP136" s="115"/>
      <c r="AQ136" s="115"/>
      <c r="AR136" s="115"/>
      <c r="AS136" s="122"/>
      <c r="AT136" s="116">
        <f t="shared" ref="AT136:AT141" si="28">IF($FK136="да",AS136*1.18,AS136)</f>
        <v>0</v>
      </c>
      <c r="AU136" s="122"/>
      <c r="AV136" s="123">
        <f t="shared" ref="AV136:AV141" si="29">AS136*AU136/1000</f>
        <v>0</v>
      </c>
      <c r="AW136" s="116">
        <f t="shared" ref="AW136:AW141" si="30">IF($FK136="да",AV136*1.18,AV136)</f>
        <v>0</v>
      </c>
      <c r="AX136" s="117"/>
      <c r="AY136" s="116">
        <f t="shared" ref="AY136:AY141" si="31">IF($FK136="да",AX136*1.18,AX136)</f>
        <v>0</v>
      </c>
      <c r="AZ136" s="117"/>
      <c r="BA136" s="116">
        <f t="shared" ref="BA136:BA141" si="32">AX136*AZ136/1000</f>
        <v>0</v>
      </c>
      <c r="BB136" s="116">
        <f t="shared" ref="BB136:BB141" si="33">IF($FK136="да",BA136*1.18,BA136)</f>
        <v>0</v>
      </c>
      <c r="BC136" s="117"/>
      <c r="BD136" s="116">
        <f t="shared" ref="BD136:BD141" si="34">IF($FK136="да",BC136*1.18,BC136)</f>
        <v>0</v>
      </c>
      <c r="BE136" s="117"/>
      <c r="BF136" s="116">
        <f t="shared" ref="BF136:BF141" si="35">BC136*BE136/1000</f>
        <v>0</v>
      </c>
      <c r="BG136" s="116">
        <f t="shared" ref="BG136:BG141" si="36">IF($FK136="да",BF136*1.18,BF136)</f>
        <v>0</v>
      </c>
      <c r="BH136" s="115"/>
      <c r="BI136" s="115"/>
      <c r="BJ136" s="115"/>
      <c r="BK136" s="115"/>
      <c r="BL136" s="115"/>
      <c r="BM136" s="365"/>
      <c r="BN136" s="116">
        <f t="shared" si="6"/>
        <v>0</v>
      </c>
      <c r="BO136" s="185">
        <f t="shared" ref="BO136:BO141" si="37">IF(BS136=0,0,BV136/BS136*1000)</f>
        <v>0</v>
      </c>
      <c r="BP136" s="185">
        <f t="shared" ref="BP136:BP141" si="38">IF(BS136=0,0,BW136/BS136*1000)</f>
        <v>0</v>
      </c>
      <c r="BQ136" s="185">
        <f t="shared" si="7"/>
        <v>0</v>
      </c>
      <c r="BR136" s="185">
        <f t="shared" si="8"/>
        <v>0</v>
      </c>
      <c r="BS136" s="365"/>
      <c r="BT136" s="365"/>
      <c r="BU136" s="123">
        <f t="shared" si="9"/>
        <v>0</v>
      </c>
      <c r="BV136" s="123">
        <f t="shared" ref="BV136:BV141" si="39">BM136*BS136/1000+CD136+CI136+CN136</f>
        <v>0</v>
      </c>
      <c r="BW136" s="116">
        <f t="shared" si="10"/>
        <v>0</v>
      </c>
      <c r="BX136" s="115"/>
      <c r="BY136" s="115"/>
      <c r="BZ136" s="115"/>
      <c r="CA136" s="365"/>
      <c r="CB136" s="116">
        <f t="shared" ref="CB136:CB141" si="40">IF($FK136="да",CA136*1.18,CA136)</f>
        <v>0</v>
      </c>
      <c r="CC136" s="365"/>
      <c r="CD136" s="123">
        <f t="shared" ref="CD136:CD141" si="41">CA136*CC136/1000</f>
        <v>0</v>
      </c>
      <c r="CE136" s="116">
        <f t="shared" ref="CE136:CE141" si="42">IF($FK136="да",CD136*1.18,CD136)</f>
        <v>0</v>
      </c>
      <c r="CF136" s="218"/>
      <c r="CG136" s="116">
        <f t="shared" ref="CG136:CG141" si="43">IF($FK136="да",CF136*1.18,CF136)</f>
        <v>0</v>
      </c>
      <c r="CH136" s="218"/>
      <c r="CI136" s="116">
        <f t="shared" ref="CI136:CI141" si="44">CF136*CH136/1000</f>
        <v>0</v>
      </c>
      <c r="CJ136" s="116">
        <f t="shared" ref="CJ136:CJ141" si="45">IF($FK136="да",CI136*1.18,CI136)</f>
        <v>0</v>
      </c>
      <c r="CK136" s="218"/>
      <c r="CL136" s="116">
        <f t="shared" ref="CL136:CL141" si="46">IF($FK136="да",CK136*1.18,CK136)</f>
        <v>0</v>
      </c>
      <c r="CM136" s="218"/>
      <c r="CN136" s="116">
        <f t="shared" ref="CN136:CN141" si="47">CK136*CM136/1000</f>
        <v>0</v>
      </c>
      <c r="CO136" s="116">
        <f t="shared" ref="CO136:CO141" si="48">IF($FK136="да",CN136*1.18,CN136)</f>
        <v>0</v>
      </c>
      <c r="CP136" s="115"/>
      <c r="CQ136" s="115"/>
      <c r="CR136" s="115"/>
      <c r="CS136" s="115"/>
      <c r="CT136" s="115"/>
      <c r="CU136" s="365"/>
      <c r="CV136" s="116">
        <f t="shared" si="11"/>
        <v>0</v>
      </c>
      <c r="CW136" s="185">
        <f t="shared" ref="CW136:CW141" si="49">IF(DA136=0,0,DD136/DA136*1000)</f>
        <v>0</v>
      </c>
      <c r="CX136" s="185">
        <f t="shared" ref="CX136:CX141" si="50">IF(DA136=0,0,DE136/DA136*1000)</f>
        <v>0</v>
      </c>
      <c r="CY136" s="185">
        <f t="shared" si="12"/>
        <v>0</v>
      </c>
      <c r="CZ136" s="185">
        <f t="shared" si="13"/>
        <v>0</v>
      </c>
      <c r="DA136" s="365"/>
      <c r="DB136" s="365"/>
      <c r="DC136" s="123">
        <f t="shared" si="14"/>
        <v>0</v>
      </c>
      <c r="DD136" s="123">
        <f t="shared" ref="DD136:DD141" si="51">CU136*DA136/1000+DL136+DQ136+DV136</f>
        <v>0</v>
      </c>
      <c r="DE136" s="116">
        <f t="shared" si="15"/>
        <v>0</v>
      </c>
      <c r="DF136" s="115"/>
      <c r="DG136" s="115"/>
      <c r="DH136" s="115"/>
      <c r="DI136" s="365"/>
      <c r="DJ136" s="116">
        <f t="shared" ref="DJ136:DJ141" si="52">IF($FK136="да",DI136*1.18,DI136)</f>
        <v>0</v>
      </c>
      <c r="DK136" s="365"/>
      <c r="DL136" s="123">
        <f t="shared" ref="DL136:DL141" si="53">DI136*DK136/1000</f>
        <v>0</v>
      </c>
      <c r="DM136" s="116">
        <f t="shared" ref="DM136:DM141" si="54">IF($FK136="да",DL136*1.18,DL136)</f>
        <v>0</v>
      </c>
      <c r="DN136" s="218"/>
      <c r="DO136" s="116">
        <f t="shared" ref="DO136:DO141" si="55">IF($FK136="да",DN136*1.18,DN136)</f>
        <v>0</v>
      </c>
      <c r="DP136" s="218"/>
      <c r="DQ136" s="116">
        <f t="shared" ref="DQ136:DQ141" si="56">DN136*DP136/1000</f>
        <v>0</v>
      </c>
      <c r="DR136" s="116">
        <f t="shared" ref="DR136:DR141" si="57">IF($FK136="да",DQ136*1.18,DQ136)</f>
        <v>0</v>
      </c>
      <c r="DS136" s="218"/>
      <c r="DT136" s="116">
        <f t="shared" ref="DT136:DT141" si="58">IF($FK136="да",DS136*1.18,DS136)</f>
        <v>0</v>
      </c>
      <c r="DU136" s="218"/>
      <c r="DV136" s="116">
        <f t="shared" ref="DV136:DV141" si="59">DS136*DU136/1000</f>
        <v>0</v>
      </c>
      <c r="DW136" s="116">
        <f t="shared" ref="DW136:DW141" si="60">IF($FK136="да",DV136*1.18,DV136)</f>
        <v>0</v>
      </c>
      <c r="DX136" s="115"/>
      <c r="DY136" s="115"/>
      <c r="DZ136" s="115"/>
      <c r="EA136" s="115"/>
      <c r="EB136" s="115"/>
      <c r="EC136" s="365"/>
      <c r="ED136" s="116">
        <f t="shared" si="16"/>
        <v>0</v>
      </c>
      <c r="EE136" s="185">
        <f t="shared" ref="EE136:EE141" si="61">IF(EI136=0,0,EL136/EI136*1000)</f>
        <v>0</v>
      </c>
      <c r="EF136" s="185">
        <f t="shared" ref="EF136:EF141" si="62">IF(EI136=0,0,EM136/EI136*1000)</f>
        <v>0</v>
      </c>
      <c r="EG136" s="185">
        <f t="shared" si="17"/>
        <v>0</v>
      </c>
      <c r="EH136" s="185">
        <f t="shared" si="18"/>
        <v>0</v>
      </c>
      <c r="EI136" s="365"/>
      <c r="EJ136" s="365"/>
      <c r="EK136" s="123">
        <f t="shared" si="19"/>
        <v>0</v>
      </c>
      <c r="EL136" s="123">
        <f t="shared" ref="EL136:EL141" si="63">EC136*EI136/1000+ET136+EY136+FD136</f>
        <v>0</v>
      </c>
      <c r="EM136" s="116">
        <f t="shared" si="20"/>
        <v>0</v>
      </c>
      <c r="EN136" s="115"/>
      <c r="EO136" s="115"/>
      <c r="EP136" s="115"/>
      <c r="EQ136" s="365"/>
      <c r="ER136" s="116">
        <f t="shared" ref="ER136:ER141" si="64">IF($FK136="да",EQ136*1.18,EQ136)</f>
        <v>0</v>
      </c>
      <c r="ES136" s="365"/>
      <c r="ET136" s="123">
        <f t="shared" ref="ET136:ET141" si="65">EQ136*ES136/1000</f>
        <v>0</v>
      </c>
      <c r="EU136" s="116">
        <f t="shared" ref="EU136:EU141" si="66">IF($FK136="да",ET136*1.18,ET136)</f>
        <v>0</v>
      </c>
      <c r="EV136" s="218"/>
      <c r="EW136" s="116">
        <f t="shared" ref="EW136:EW141" si="67">IF($FK136="да",EV136*1.18,EV136)</f>
        <v>0</v>
      </c>
      <c r="EX136" s="218"/>
      <c r="EY136" s="116">
        <f t="shared" ref="EY136:EY141" si="68">EV136*EX136/1000</f>
        <v>0</v>
      </c>
      <c r="EZ136" s="116">
        <f t="shared" ref="EZ136:EZ141" si="69">IF($FK136="да",EY136*1.18,EY136)</f>
        <v>0</v>
      </c>
      <c r="FA136" s="218"/>
      <c r="FB136" s="116">
        <f t="shared" ref="FB136:FB141" si="70">IF($FK136="да",FA136*1.18,FA136)</f>
        <v>0</v>
      </c>
      <c r="FC136" s="218"/>
      <c r="FD136" s="116">
        <f t="shared" ref="FD136:FD141" si="71">FA136*FC136/1000</f>
        <v>0</v>
      </c>
      <c r="FE136" s="116">
        <f t="shared" ref="FE136:FE141" si="72">IF($FK136="да",FD136*1.18,FD136)</f>
        <v>0</v>
      </c>
      <c r="FF136" s="115"/>
      <c r="FG136" s="115"/>
      <c r="FH136" s="115"/>
      <c r="FI136" s="115"/>
      <c r="FJ136" s="115"/>
      <c r="FK136" s="110">
        <f>$T132</f>
        <v>0</v>
      </c>
      <c r="FL136" s="118" t="str">
        <f>IF($G132="","ACTI","DELD")</f>
        <v>ACTI</v>
      </c>
      <c r="FM136" s="119" t="str">
        <f>$I132 &amp; "." &amp; $AA136 &amp; ".1"</f>
        <v>.2.1</v>
      </c>
      <c r="FN136" s="427"/>
      <c r="FO136" s="201"/>
      <c r="FP136" s="360"/>
      <c r="FQ136" s="360"/>
      <c r="FR136" s="360"/>
      <c r="FS136" s="204">
        <f t="shared" si="21"/>
        <v>0</v>
      </c>
      <c r="FT136" s="9"/>
      <c r="FU136" s="9"/>
      <c r="FV136" s="9"/>
      <c r="FW136" s="9"/>
      <c r="FX136" s="205"/>
      <c r="FY136" s="9"/>
      <c r="FZ136" s="206"/>
      <c r="GA136" s="46"/>
      <c r="GD136" s="192">
        <f>M132</f>
        <v>0</v>
      </c>
      <c r="GE136" s="192">
        <f>N132</f>
        <v>0</v>
      </c>
      <c r="GF136" s="193" t="str">
        <f>MID(Q132,1,50) &amp; LEN(Q132)</f>
        <v>0</v>
      </c>
      <c r="GG136" s="192" t="str">
        <f>IF(S132="производство комбинированная выработка","COGENERATION","HEATING")</f>
        <v>HEATING</v>
      </c>
      <c r="GH136" s="194" t="str">
        <f t="shared" si="22"/>
        <v>Газовый конденсат :: ACTI</v>
      </c>
      <c r="GI136" s="194" t="str">
        <f t="shared" si="23"/>
        <v>0::0::0::HEATING::Газовый конденсат :: ACTI</v>
      </c>
      <c r="GJ136" s="10"/>
      <c r="GK136" s="10"/>
      <c r="GL136" s="10"/>
      <c r="GM136" s="10"/>
    </row>
    <row r="137" spans="1:195" s="75" customFormat="1" ht="12" hidden="1" customHeight="1">
      <c r="F137" s="200"/>
      <c r="G137" s="406"/>
      <c r="H137" s="411"/>
      <c r="I137" s="412"/>
      <c r="J137" s="417"/>
      <c r="K137" s="417"/>
      <c r="L137" s="419"/>
      <c r="M137" s="418"/>
      <c r="N137" s="418"/>
      <c r="O137" s="418"/>
      <c r="P137" s="415"/>
      <c r="Q137" s="416"/>
      <c r="R137" s="426"/>
      <c r="S137" s="410"/>
      <c r="T137" s="432"/>
      <c r="U137" s="412"/>
      <c r="V137"/>
      <c r="W137"/>
      <c r="X137"/>
      <c r="Y137" s="425"/>
      <c r="Z137" s="112"/>
      <c r="AA137" s="111">
        <v>3</v>
      </c>
      <c r="AB137" s="113" t="s">
        <v>1525</v>
      </c>
      <c r="AC137" s="121" t="str">
        <f t="shared" si="24"/>
        <v>Газ сжиженный</v>
      </c>
      <c r="AD137" s="191" t="str">
        <f t="shared" si="0"/>
        <v>Газ сжиженный :: ACTI</v>
      </c>
      <c r="AE137" s="122"/>
      <c r="AF137" s="116">
        <f t="shared" si="1"/>
        <v>0</v>
      </c>
      <c r="AG137" s="185">
        <f t="shared" si="25"/>
        <v>0</v>
      </c>
      <c r="AH137" s="185">
        <f t="shared" si="26"/>
        <v>0</v>
      </c>
      <c r="AI137" s="185">
        <f t="shared" si="2"/>
        <v>0</v>
      </c>
      <c r="AJ137" s="185">
        <f t="shared" si="3"/>
        <v>0</v>
      </c>
      <c r="AK137" s="122"/>
      <c r="AL137" s="122"/>
      <c r="AM137" s="123">
        <f t="shared" si="4"/>
        <v>0</v>
      </c>
      <c r="AN137" s="123">
        <f t="shared" si="27"/>
        <v>0</v>
      </c>
      <c r="AO137" s="116">
        <f t="shared" si="5"/>
        <v>0</v>
      </c>
      <c r="AP137" s="115"/>
      <c r="AQ137" s="115"/>
      <c r="AR137" s="115"/>
      <c r="AS137" s="122"/>
      <c r="AT137" s="116">
        <f t="shared" si="28"/>
        <v>0</v>
      </c>
      <c r="AU137" s="122"/>
      <c r="AV137" s="123">
        <f t="shared" si="29"/>
        <v>0</v>
      </c>
      <c r="AW137" s="116">
        <f t="shared" si="30"/>
        <v>0</v>
      </c>
      <c r="AX137" s="117"/>
      <c r="AY137" s="116">
        <f t="shared" si="31"/>
        <v>0</v>
      </c>
      <c r="AZ137" s="117"/>
      <c r="BA137" s="116">
        <f t="shared" si="32"/>
        <v>0</v>
      </c>
      <c r="BB137" s="116">
        <f t="shared" si="33"/>
        <v>0</v>
      </c>
      <c r="BC137" s="117"/>
      <c r="BD137" s="116">
        <f t="shared" si="34"/>
        <v>0</v>
      </c>
      <c r="BE137" s="117"/>
      <c r="BF137" s="116">
        <f t="shared" si="35"/>
        <v>0</v>
      </c>
      <c r="BG137" s="116">
        <f t="shared" si="36"/>
        <v>0</v>
      </c>
      <c r="BH137" s="115"/>
      <c r="BI137" s="115"/>
      <c r="BJ137" s="115"/>
      <c r="BK137" s="115"/>
      <c r="BL137" s="115"/>
      <c r="BM137" s="365"/>
      <c r="BN137" s="116">
        <f t="shared" si="6"/>
        <v>0</v>
      </c>
      <c r="BO137" s="185">
        <f t="shared" si="37"/>
        <v>0</v>
      </c>
      <c r="BP137" s="185">
        <f t="shared" si="38"/>
        <v>0</v>
      </c>
      <c r="BQ137" s="185">
        <f t="shared" si="7"/>
        <v>0</v>
      </c>
      <c r="BR137" s="185">
        <f t="shared" si="8"/>
        <v>0</v>
      </c>
      <c r="BS137" s="365"/>
      <c r="BT137" s="365"/>
      <c r="BU137" s="123">
        <f t="shared" si="9"/>
        <v>0</v>
      </c>
      <c r="BV137" s="123">
        <f t="shared" si="39"/>
        <v>0</v>
      </c>
      <c r="BW137" s="116">
        <f t="shared" si="10"/>
        <v>0</v>
      </c>
      <c r="BX137" s="115"/>
      <c r="BY137" s="115"/>
      <c r="BZ137" s="115"/>
      <c r="CA137" s="365"/>
      <c r="CB137" s="116">
        <f t="shared" si="40"/>
        <v>0</v>
      </c>
      <c r="CC137" s="365"/>
      <c r="CD137" s="123">
        <f t="shared" si="41"/>
        <v>0</v>
      </c>
      <c r="CE137" s="116">
        <f t="shared" si="42"/>
        <v>0</v>
      </c>
      <c r="CF137" s="218"/>
      <c r="CG137" s="116">
        <f t="shared" si="43"/>
        <v>0</v>
      </c>
      <c r="CH137" s="218"/>
      <c r="CI137" s="116">
        <f t="shared" si="44"/>
        <v>0</v>
      </c>
      <c r="CJ137" s="116">
        <f t="shared" si="45"/>
        <v>0</v>
      </c>
      <c r="CK137" s="218"/>
      <c r="CL137" s="116">
        <f t="shared" si="46"/>
        <v>0</v>
      </c>
      <c r="CM137" s="218"/>
      <c r="CN137" s="116">
        <f t="shared" si="47"/>
        <v>0</v>
      </c>
      <c r="CO137" s="116">
        <f t="shared" si="48"/>
        <v>0</v>
      </c>
      <c r="CP137" s="115"/>
      <c r="CQ137" s="115"/>
      <c r="CR137" s="115"/>
      <c r="CS137" s="115"/>
      <c r="CT137" s="115"/>
      <c r="CU137" s="365"/>
      <c r="CV137" s="116">
        <f t="shared" si="11"/>
        <v>0</v>
      </c>
      <c r="CW137" s="185">
        <f t="shared" si="49"/>
        <v>0</v>
      </c>
      <c r="CX137" s="185">
        <f t="shared" si="50"/>
        <v>0</v>
      </c>
      <c r="CY137" s="185">
        <f t="shared" si="12"/>
        <v>0</v>
      </c>
      <c r="CZ137" s="185">
        <f t="shared" si="13"/>
        <v>0</v>
      </c>
      <c r="DA137" s="365"/>
      <c r="DB137" s="365"/>
      <c r="DC137" s="123">
        <f t="shared" si="14"/>
        <v>0</v>
      </c>
      <c r="DD137" s="123">
        <f t="shared" si="51"/>
        <v>0</v>
      </c>
      <c r="DE137" s="116">
        <f t="shared" si="15"/>
        <v>0</v>
      </c>
      <c r="DF137" s="115"/>
      <c r="DG137" s="115"/>
      <c r="DH137" s="115"/>
      <c r="DI137" s="365"/>
      <c r="DJ137" s="116">
        <f t="shared" si="52"/>
        <v>0</v>
      </c>
      <c r="DK137" s="365"/>
      <c r="DL137" s="123">
        <f t="shared" si="53"/>
        <v>0</v>
      </c>
      <c r="DM137" s="116">
        <f t="shared" si="54"/>
        <v>0</v>
      </c>
      <c r="DN137" s="218"/>
      <c r="DO137" s="116">
        <f t="shared" si="55"/>
        <v>0</v>
      </c>
      <c r="DP137" s="218"/>
      <c r="DQ137" s="116">
        <f t="shared" si="56"/>
        <v>0</v>
      </c>
      <c r="DR137" s="116">
        <f t="shared" si="57"/>
        <v>0</v>
      </c>
      <c r="DS137" s="218"/>
      <c r="DT137" s="116">
        <f t="shared" si="58"/>
        <v>0</v>
      </c>
      <c r="DU137" s="218"/>
      <c r="DV137" s="116">
        <f t="shared" si="59"/>
        <v>0</v>
      </c>
      <c r="DW137" s="116">
        <f t="shared" si="60"/>
        <v>0</v>
      </c>
      <c r="DX137" s="115"/>
      <c r="DY137" s="115"/>
      <c r="DZ137" s="115"/>
      <c r="EA137" s="115"/>
      <c r="EB137" s="115"/>
      <c r="EC137" s="365"/>
      <c r="ED137" s="116">
        <f t="shared" si="16"/>
        <v>0</v>
      </c>
      <c r="EE137" s="185">
        <f t="shared" si="61"/>
        <v>0</v>
      </c>
      <c r="EF137" s="185">
        <f t="shared" si="62"/>
        <v>0</v>
      </c>
      <c r="EG137" s="185">
        <f t="shared" si="17"/>
        <v>0</v>
      </c>
      <c r="EH137" s="185">
        <f t="shared" si="18"/>
        <v>0</v>
      </c>
      <c r="EI137" s="365"/>
      <c r="EJ137" s="365"/>
      <c r="EK137" s="123">
        <f t="shared" si="19"/>
        <v>0</v>
      </c>
      <c r="EL137" s="123">
        <f t="shared" si="63"/>
        <v>0</v>
      </c>
      <c r="EM137" s="116">
        <f t="shared" si="20"/>
        <v>0</v>
      </c>
      <c r="EN137" s="115"/>
      <c r="EO137" s="115"/>
      <c r="EP137" s="115"/>
      <c r="EQ137" s="365"/>
      <c r="ER137" s="116">
        <f t="shared" si="64"/>
        <v>0</v>
      </c>
      <c r="ES137" s="365"/>
      <c r="ET137" s="123">
        <f t="shared" si="65"/>
        <v>0</v>
      </c>
      <c r="EU137" s="116">
        <f t="shared" si="66"/>
        <v>0</v>
      </c>
      <c r="EV137" s="218"/>
      <c r="EW137" s="116">
        <f t="shared" si="67"/>
        <v>0</v>
      </c>
      <c r="EX137" s="218"/>
      <c r="EY137" s="116">
        <f t="shared" si="68"/>
        <v>0</v>
      </c>
      <c r="EZ137" s="116">
        <f t="shared" si="69"/>
        <v>0</v>
      </c>
      <c r="FA137" s="218"/>
      <c r="FB137" s="116">
        <f t="shared" si="70"/>
        <v>0</v>
      </c>
      <c r="FC137" s="218"/>
      <c r="FD137" s="116">
        <f t="shared" si="71"/>
        <v>0</v>
      </c>
      <c r="FE137" s="116">
        <f t="shared" si="72"/>
        <v>0</v>
      </c>
      <c r="FF137" s="115"/>
      <c r="FG137" s="115"/>
      <c r="FH137" s="115"/>
      <c r="FI137" s="115"/>
      <c r="FJ137" s="115"/>
      <c r="FK137" s="110">
        <f>$T132</f>
        <v>0</v>
      </c>
      <c r="FL137" s="118" t="str">
        <f>IF($G132="","ACTI","DELD")</f>
        <v>ACTI</v>
      </c>
      <c r="FM137" s="119" t="str">
        <f>$I132 &amp; "." &amp; $AA137 &amp; ".1"</f>
        <v>.3.1</v>
      </c>
      <c r="FN137" s="427"/>
      <c r="FO137" s="201"/>
      <c r="FP137" s="360"/>
      <c r="FQ137" s="360"/>
      <c r="FR137" s="360"/>
      <c r="FS137" s="204">
        <f t="shared" si="21"/>
        <v>0</v>
      </c>
      <c r="FT137" s="9"/>
      <c r="FU137" s="9"/>
      <c r="FV137" s="9"/>
      <c r="FW137" s="9"/>
      <c r="FX137" s="205"/>
      <c r="FY137" s="9"/>
      <c r="FZ137" s="206"/>
      <c r="GA137" s="46"/>
      <c r="GD137" s="192">
        <f>M132</f>
        <v>0</v>
      </c>
      <c r="GE137" s="192">
        <f>N132</f>
        <v>0</v>
      </c>
      <c r="GF137" s="193" t="str">
        <f>MID(Q132,1,50) &amp; LEN(Q132)</f>
        <v>0</v>
      </c>
      <c r="GG137" s="192" t="str">
        <f>IF(S132="производство комбинированная выработка","COGENERATION","HEATING")</f>
        <v>HEATING</v>
      </c>
      <c r="GH137" s="194" t="str">
        <f t="shared" si="22"/>
        <v>Газ сжиженный :: ACTI</v>
      </c>
      <c r="GI137" s="194" t="str">
        <f t="shared" si="23"/>
        <v>0::0::0::HEATING::Газ сжиженный :: ACTI</v>
      </c>
      <c r="GJ137" s="10"/>
      <c r="GK137" s="10"/>
      <c r="GL137" s="10"/>
      <c r="GM137" s="10"/>
    </row>
    <row r="138" spans="1:195" s="75" customFormat="1" ht="12" hidden="1" customHeight="1">
      <c r="F138" s="200"/>
      <c r="G138" s="406"/>
      <c r="H138" s="411"/>
      <c r="I138" s="412"/>
      <c r="J138" s="417"/>
      <c r="K138" s="417"/>
      <c r="L138" s="419"/>
      <c r="M138" s="418"/>
      <c r="N138" s="418"/>
      <c r="O138" s="418"/>
      <c r="P138" s="415"/>
      <c r="Q138" s="416"/>
      <c r="R138" s="426"/>
      <c r="S138" s="410"/>
      <c r="T138" s="432"/>
      <c r="U138" s="412"/>
      <c r="V138"/>
      <c r="W138"/>
      <c r="X138"/>
      <c r="Y138" s="425"/>
      <c r="Z138" s="112"/>
      <c r="AA138" s="111">
        <v>4</v>
      </c>
      <c r="AB138" s="113" t="s">
        <v>1580</v>
      </c>
      <c r="AC138" s="121" t="str">
        <f t="shared" si="24"/>
        <v>Дизельное топливо</v>
      </c>
      <c r="AD138" s="191" t="str">
        <f t="shared" si="0"/>
        <v>Дизельное топливо :: ACTI</v>
      </c>
      <c r="AE138" s="122"/>
      <c r="AF138" s="116">
        <f t="shared" si="1"/>
        <v>0</v>
      </c>
      <c r="AG138" s="185">
        <f t="shared" si="25"/>
        <v>0</v>
      </c>
      <c r="AH138" s="185">
        <f t="shared" si="26"/>
        <v>0</v>
      </c>
      <c r="AI138" s="185">
        <f t="shared" si="2"/>
        <v>0</v>
      </c>
      <c r="AJ138" s="185">
        <f t="shared" si="3"/>
        <v>0</v>
      </c>
      <c r="AK138" s="122"/>
      <c r="AL138" s="122"/>
      <c r="AM138" s="123">
        <f t="shared" si="4"/>
        <v>0</v>
      </c>
      <c r="AN138" s="123">
        <f t="shared" si="27"/>
        <v>0</v>
      </c>
      <c r="AO138" s="116">
        <f t="shared" si="5"/>
        <v>0</v>
      </c>
      <c r="AP138" s="115"/>
      <c r="AQ138" s="115"/>
      <c r="AR138" s="115"/>
      <c r="AS138" s="122"/>
      <c r="AT138" s="116">
        <f t="shared" si="28"/>
        <v>0</v>
      </c>
      <c r="AU138" s="122"/>
      <c r="AV138" s="123">
        <f t="shared" si="29"/>
        <v>0</v>
      </c>
      <c r="AW138" s="116">
        <f t="shared" si="30"/>
        <v>0</v>
      </c>
      <c r="AX138" s="117"/>
      <c r="AY138" s="116">
        <f t="shared" si="31"/>
        <v>0</v>
      </c>
      <c r="AZ138" s="117"/>
      <c r="BA138" s="116">
        <f t="shared" si="32"/>
        <v>0</v>
      </c>
      <c r="BB138" s="116">
        <f t="shared" si="33"/>
        <v>0</v>
      </c>
      <c r="BC138" s="117"/>
      <c r="BD138" s="116">
        <f t="shared" si="34"/>
        <v>0</v>
      </c>
      <c r="BE138" s="117"/>
      <c r="BF138" s="116">
        <f t="shared" si="35"/>
        <v>0</v>
      </c>
      <c r="BG138" s="116">
        <f t="shared" si="36"/>
        <v>0</v>
      </c>
      <c r="BH138" s="115"/>
      <c r="BI138" s="115"/>
      <c r="BJ138" s="115"/>
      <c r="BK138" s="115"/>
      <c r="BL138" s="115"/>
      <c r="BM138" s="365"/>
      <c r="BN138" s="116">
        <f t="shared" si="6"/>
        <v>0</v>
      </c>
      <c r="BO138" s="185">
        <f t="shared" si="37"/>
        <v>0</v>
      </c>
      <c r="BP138" s="185">
        <f t="shared" si="38"/>
        <v>0</v>
      </c>
      <c r="BQ138" s="185">
        <f t="shared" si="7"/>
        <v>0</v>
      </c>
      <c r="BR138" s="185">
        <f t="shared" si="8"/>
        <v>0</v>
      </c>
      <c r="BS138" s="365"/>
      <c r="BT138" s="365"/>
      <c r="BU138" s="123">
        <f t="shared" si="9"/>
        <v>0</v>
      </c>
      <c r="BV138" s="123">
        <f t="shared" si="39"/>
        <v>0</v>
      </c>
      <c r="BW138" s="116">
        <f t="shared" si="10"/>
        <v>0</v>
      </c>
      <c r="BX138" s="115"/>
      <c r="BY138" s="115"/>
      <c r="BZ138" s="115"/>
      <c r="CA138" s="365"/>
      <c r="CB138" s="116">
        <f t="shared" si="40"/>
        <v>0</v>
      </c>
      <c r="CC138" s="365"/>
      <c r="CD138" s="123">
        <f t="shared" si="41"/>
        <v>0</v>
      </c>
      <c r="CE138" s="116">
        <f t="shared" si="42"/>
        <v>0</v>
      </c>
      <c r="CF138" s="218"/>
      <c r="CG138" s="116">
        <f t="shared" si="43"/>
        <v>0</v>
      </c>
      <c r="CH138" s="218"/>
      <c r="CI138" s="116">
        <f t="shared" si="44"/>
        <v>0</v>
      </c>
      <c r="CJ138" s="116">
        <f t="shared" si="45"/>
        <v>0</v>
      </c>
      <c r="CK138" s="218"/>
      <c r="CL138" s="116">
        <f t="shared" si="46"/>
        <v>0</v>
      </c>
      <c r="CM138" s="218"/>
      <c r="CN138" s="116">
        <f t="shared" si="47"/>
        <v>0</v>
      </c>
      <c r="CO138" s="116">
        <f t="shared" si="48"/>
        <v>0</v>
      </c>
      <c r="CP138" s="115"/>
      <c r="CQ138" s="115"/>
      <c r="CR138" s="115"/>
      <c r="CS138" s="115"/>
      <c r="CT138" s="115"/>
      <c r="CU138" s="365"/>
      <c r="CV138" s="116">
        <f t="shared" si="11"/>
        <v>0</v>
      </c>
      <c r="CW138" s="185">
        <f t="shared" si="49"/>
        <v>0</v>
      </c>
      <c r="CX138" s="185">
        <f t="shared" si="50"/>
        <v>0</v>
      </c>
      <c r="CY138" s="185">
        <f t="shared" si="12"/>
        <v>0</v>
      </c>
      <c r="CZ138" s="185">
        <f t="shared" si="13"/>
        <v>0</v>
      </c>
      <c r="DA138" s="365"/>
      <c r="DB138" s="365"/>
      <c r="DC138" s="123">
        <f t="shared" si="14"/>
        <v>0</v>
      </c>
      <c r="DD138" s="123">
        <f t="shared" si="51"/>
        <v>0</v>
      </c>
      <c r="DE138" s="116">
        <f t="shared" si="15"/>
        <v>0</v>
      </c>
      <c r="DF138" s="115"/>
      <c r="DG138" s="115"/>
      <c r="DH138" s="115"/>
      <c r="DI138" s="365"/>
      <c r="DJ138" s="116">
        <f t="shared" si="52"/>
        <v>0</v>
      </c>
      <c r="DK138" s="365"/>
      <c r="DL138" s="123">
        <f t="shared" si="53"/>
        <v>0</v>
      </c>
      <c r="DM138" s="116">
        <f t="shared" si="54"/>
        <v>0</v>
      </c>
      <c r="DN138" s="218"/>
      <c r="DO138" s="116">
        <f t="shared" si="55"/>
        <v>0</v>
      </c>
      <c r="DP138" s="218"/>
      <c r="DQ138" s="116">
        <f t="shared" si="56"/>
        <v>0</v>
      </c>
      <c r="DR138" s="116">
        <f t="shared" si="57"/>
        <v>0</v>
      </c>
      <c r="DS138" s="218"/>
      <c r="DT138" s="116">
        <f t="shared" si="58"/>
        <v>0</v>
      </c>
      <c r="DU138" s="218"/>
      <c r="DV138" s="116">
        <f t="shared" si="59"/>
        <v>0</v>
      </c>
      <c r="DW138" s="116">
        <f t="shared" si="60"/>
        <v>0</v>
      </c>
      <c r="DX138" s="115"/>
      <c r="DY138" s="115"/>
      <c r="DZ138" s="115"/>
      <c r="EA138" s="115"/>
      <c r="EB138" s="115"/>
      <c r="EC138" s="365"/>
      <c r="ED138" s="116">
        <f t="shared" si="16"/>
        <v>0</v>
      </c>
      <c r="EE138" s="185">
        <f t="shared" si="61"/>
        <v>0</v>
      </c>
      <c r="EF138" s="185">
        <f t="shared" si="62"/>
        <v>0</v>
      </c>
      <c r="EG138" s="185">
        <f t="shared" si="17"/>
        <v>0</v>
      </c>
      <c r="EH138" s="185">
        <f t="shared" si="18"/>
        <v>0</v>
      </c>
      <c r="EI138" s="365"/>
      <c r="EJ138" s="365"/>
      <c r="EK138" s="123">
        <f t="shared" si="19"/>
        <v>0</v>
      </c>
      <c r="EL138" s="123">
        <f t="shared" si="63"/>
        <v>0</v>
      </c>
      <c r="EM138" s="116">
        <f t="shared" si="20"/>
        <v>0</v>
      </c>
      <c r="EN138" s="115"/>
      <c r="EO138" s="115"/>
      <c r="EP138" s="115"/>
      <c r="EQ138" s="365"/>
      <c r="ER138" s="116">
        <f t="shared" si="64"/>
        <v>0</v>
      </c>
      <c r="ES138" s="365"/>
      <c r="ET138" s="123">
        <f t="shared" si="65"/>
        <v>0</v>
      </c>
      <c r="EU138" s="116">
        <f t="shared" si="66"/>
        <v>0</v>
      </c>
      <c r="EV138" s="218"/>
      <c r="EW138" s="116">
        <f t="shared" si="67"/>
        <v>0</v>
      </c>
      <c r="EX138" s="218"/>
      <c r="EY138" s="116">
        <f t="shared" si="68"/>
        <v>0</v>
      </c>
      <c r="EZ138" s="116">
        <f t="shared" si="69"/>
        <v>0</v>
      </c>
      <c r="FA138" s="218"/>
      <c r="FB138" s="116">
        <f t="shared" si="70"/>
        <v>0</v>
      </c>
      <c r="FC138" s="218"/>
      <c r="FD138" s="116">
        <f t="shared" si="71"/>
        <v>0</v>
      </c>
      <c r="FE138" s="116">
        <f t="shared" si="72"/>
        <v>0</v>
      </c>
      <c r="FF138" s="115"/>
      <c r="FG138" s="115"/>
      <c r="FH138" s="115"/>
      <c r="FI138" s="115"/>
      <c r="FJ138" s="115"/>
      <c r="FK138" s="110">
        <f>$T132</f>
        <v>0</v>
      </c>
      <c r="FL138" s="118" t="str">
        <f>IF($G132="","ACTI","DELD")</f>
        <v>ACTI</v>
      </c>
      <c r="FM138" s="119" t="str">
        <f>$I132 &amp; "." &amp; $AA138 &amp; ".1"</f>
        <v>.4.1</v>
      </c>
      <c r="FN138" s="427"/>
      <c r="FO138" s="201"/>
      <c r="FP138" s="360"/>
      <c r="FQ138" s="360"/>
      <c r="FR138" s="360"/>
      <c r="FS138" s="204">
        <f t="shared" si="21"/>
        <v>0</v>
      </c>
      <c r="FT138" s="9"/>
      <c r="FU138" s="9"/>
      <c r="FV138" s="9"/>
      <c r="FW138" s="9"/>
      <c r="FX138" s="205"/>
      <c r="FY138" s="9"/>
      <c r="FZ138" s="206"/>
      <c r="GA138" s="46"/>
      <c r="GD138" s="192">
        <f>M132</f>
        <v>0</v>
      </c>
      <c r="GE138" s="192">
        <f>N132</f>
        <v>0</v>
      </c>
      <c r="GF138" s="193" t="str">
        <f>MID(Q132,1,50) &amp; LEN(Q132)</f>
        <v>0</v>
      </c>
      <c r="GG138" s="192" t="str">
        <f>IF(S132="производство комбинированная выработка","COGENERATION","HEATING")</f>
        <v>HEATING</v>
      </c>
      <c r="GH138" s="194" t="str">
        <f t="shared" si="22"/>
        <v>Дизельное топливо :: ACTI</v>
      </c>
      <c r="GI138" s="194" t="str">
        <f t="shared" si="23"/>
        <v>0::0::0::HEATING::Дизельное топливо :: ACTI</v>
      </c>
      <c r="GJ138" s="10"/>
      <c r="GK138" s="10"/>
      <c r="GL138" s="10"/>
      <c r="GM138" s="10"/>
    </row>
    <row r="139" spans="1:195" s="75" customFormat="1" ht="12" hidden="1" customHeight="1">
      <c r="F139" s="200"/>
      <c r="G139" s="406"/>
      <c r="H139" s="411"/>
      <c r="I139" s="412"/>
      <c r="J139" s="417"/>
      <c r="K139" s="417"/>
      <c r="L139" s="419"/>
      <c r="M139" s="418"/>
      <c r="N139" s="418"/>
      <c r="O139" s="418"/>
      <c r="P139" s="415"/>
      <c r="Q139" s="416"/>
      <c r="R139" s="426"/>
      <c r="S139" s="410"/>
      <c r="T139" s="432"/>
      <c r="U139" s="412"/>
      <c r="V139"/>
      <c r="W139"/>
      <c r="X139"/>
      <c r="Y139" s="425"/>
      <c r="Z139" s="112"/>
      <c r="AA139" s="111">
        <v>5</v>
      </c>
      <c r="AB139" s="113" t="s">
        <v>1579</v>
      </c>
      <c r="AC139" s="121" t="str">
        <f t="shared" si="24"/>
        <v>Мазут</v>
      </c>
      <c r="AD139" s="191" t="str">
        <f t="shared" si="0"/>
        <v>Мазут :: ACTI</v>
      </c>
      <c r="AE139" s="122"/>
      <c r="AF139" s="116">
        <f t="shared" si="1"/>
        <v>0</v>
      </c>
      <c r="AG139" s="185">
        <f t="shared" si="25"/>
        <v>0</v>
      </c>
      <c r="AH139" s="185">
        <f t="shared" si="26"/>
        <v>0</v>
      </c>
      <c r="AI139" s="185">
        <f t="shared" si="2"/>
        <v>0</v>
      </c>
      <c r="AJ139" s="185">
        <f t="shared" si="3"/>
        <v>0</v>
      </c>
      <c r="AK139" s="122"/>
      <c r="AL139" s="122"/>
      <c r="AM139" s="123">
        <f t="shared" si="4"/>
        <v>0</v>
      </c>
      <c r="AN139" s="123">
        <f t="shared" si="27"/>
        <v>0</v>
      </c>
      <c r="AO139" s="116">
        <f t="shared" si="5"/>
        <v>0</v>
      </c>
      <c r="AP139" s="115"/>
      <c r="AQ139" s="115"/>
      <c r="AR139" s="115"/>
      <c r="AS139" s="122"/>
      <c r="AT139" s="116">
        <f t="shared" si="28"/>
        <v>0</v>
      </c>
      <c r="AU139" s="122"/>
      <c r="AV139" s="123">
        <f t="shared" si="29"/>
        <v>0</v>
      </c>
      <c r="AW139" s="116">
        <f t="shared" si="30"/>
        <v>0</v>
      </c>
      <c r="AX139" s="117"/>
      <c r="AY139" s="116">
        <f t="shared" si="31"/>
        <v>0</v>
      </c>
      <c r="AZ139" s="117"/>
      <c r="BA139" s="116">
        <f t="shared" si="32"/>
        <v>0</v>
      </c>
      <c r="BB139" s="116">
        <f t="shared" si="33"/>
        <v>0</v>
      </c>
      <c r="BC139" s="117"/>
      <c r="BD139" s="116">
        <f t="shared" si="34"/>
        <v>0</v>
      </c>
      <c r="BE139" s="117"/>
      <c r="BF139" s="116">
        <f t="shared" si="35"/>
        <v>0</v>
      </c>
      <c r="BG139" s="116">
        <f t="shared" si="36"/>
        <v>0</v>
      </c>
      <c r="BH139" s="115"/>
      <c r="BI139" s="115"/>
      <c r="BJ139" s="115"/>
      <c r="BK139" s="115"/>
      <c r="BL139" s="115"/>
      <c r="BM139" s="365"/>
      <c r="BN139" s="116">
        <f t="shared" si="6"/>
        <v>0</v>
      </c>
      <c r="BO139" s="185">
        <f t="shared" si="37"/>
        <v>0</v>
      </c>
      <c r="BP139" s="185">
        <f t="shared" si="38"/>
        <v>0</v>
      </c>
      <c r="BQ139" s="185">
        <f t="shared" si="7"/>
        <v>0</v>
      </c>
      <c r="BR139" s="185">
        <f t="shared" si="8"/>
        <v>0</v>
      </c>
      <c r="BS139" s="365"/>
      <c r="BT139" s="365"/>
      <c r="BU139" s="123">
        <f t="shared" si="9"/>
        <v>0</v>
      </c>
      <c r="BV139" s="123">
        <f t="shared" si="39"/>
        <v>0</v>
      </c>
      <c r="BW139" s="116">
        <f t="shared" si="10"/>
        <v>0</v>
      </c>
      <c r="BX139" s="115"/>
      <c r="BY139" s="115"/>
      <c r="BZ139" s="115"/>
      <c r="CA139" s="365"/>
      <c r="CB139" s="116">
        <f t="shared" si="40"/>
        <v>0</v>
      </c>
      <c r="CC139" s="365"/>
      <c r="CD139" s="123">
        <f t="shared" si="41"/>
        <v>0</v>
      </c>
      <c r="CE139" s="116">
        <f t="shared" si="42"/>
        <v>0</v>
      </c>
      <c r="CF139" s="218"/>
      <c r="CG139" s="116">
        <f t="shared" si="43"/>
        <v>0</v>
      </c>
      <c r="CH139" s="218"/>
      <c r="CI139" s="116">
        <f t="shared" si="44"/>
        <v>0</v>
      </c>
      <c r="CJ139" s="116">
        <f t="shared" si="45"/>
        <v>0</v>
      </c>
      <c r="CK139" s="218"/>
      <c r="CL139" s="116">
        <f t="shared" si="46"/>
        <v>0</v>
      </c>
      <c r="CM139" s="218"/>
      <c r="CN139" s="116">
        <f t="shared" si="47"/>
        <v>0</v>
      </c>
      <c r="CO139" s="116">
        <f t="shared" si="48"/>
        <v>0</v>
      </c>
      <c r="CP139" s="115"/>
      <c r="CQ139" s="115"/>
      <c r="CR139" s="115"/>
      <c r="CS139" s="115"/>
      <c r="CT139" s="115"/>
      <c r="CU139" s="365"/>
      <c r="CV139" s="116">
        <f t="shared" si="11"/>
        <v>0</v>
      </c>
      <c r="CW139" s="185">
        <f t="shared" si="49"/>
        <v>0</v>
      </c>
      <c r="CX139" s="185">
        <f t="shared" si="50"/>
        <v>0</v>
      </c>
      <c r="CY139" s="185">
        <f t="shared" si="12"/>
        <v>0</v>
      </c>
      <c r="CZ139" s="185">
        <f t="shared" si="13"/>
        <v>0</v>
      </c>
      <c r="DA139" s="365"/>
      <c r="DB139" s="365"/>
      <c r="DC139" s="123">
        <f t="shared" si="14"/>
        <v>0</v>
      </c>
      <c r="DD139" s="123">
        <f t="shared" si="51"/>
        <v>0</v>
      </c>
      <c r="DE139" s="116">
        <f t="shared" si="15"/>
        <v>0</v>
      </c>
      <c r="DF139" s="115"/>
      <c r="DG139" s="115"/>
      <c r="DH139" s="115"/>
      <c r="DI139" s="365"/>
      <c r="DJ139" s="116">
        <f t="shared" si="52"/>
        <v>0</v>
      </c>
      <c r="DK139" s="365"/>
      <c r="DL139" s="123">
        <f t="shared" si="53"/>
        <v>0</v>
      </c>
      <c r="DM139" s="116">
        <f t="shared" si="54"/>
        <v>0</v>
      </c>
      <c r="DN139" s="218"/>
      <c r="DO139" s="116">
        <f t="shared" si="55"/>
        <v>0</v>
      </c>
      <c r="DP139" s="218"/>
      <c r="DQ139" s="116">
        <f t="shared" si="56"/>
        <v>0</v>
      </c>
      <c r="DR139" s="116">
        <f t="shared" si="57"/>
        <v>0</v>
      </c>
      <c r="DS139" s="218"/>
      <c r="DT139" s="116">
        <f t="shared" si="58"/>
        <v>0</v>
      </c>
      <c r="DU139" s="218"/>
      <c r="DV139" s="116">
        <f t="shared" si="59"/>
        <v>0</v>
      </c>
      <c r="DW139" s="116">
        <f t="shared" si="60"/>
        <v>0</v>
      </c>
      <c r="DX139" s="115"/>
      <c r="DY139" s="115"/>
      <c r="DZ139" s="115"/>
      <c r="EA139" s="115"/>
      <c r="EB139" s="115"/>
      <c r="EC139" s="365"/>
      <c r="ED139" s="116">
        <f t="shared" si="16"/>
        <v>0</v>
      </c>
      <c r="EE139" s="185">
        <f t="shared" si="61"/>
        <v>0</v>
      </c>
      <c r="EF139" s="185">
        <f t="shared" si="62"/>
        <v>0</v>
      </c>
      <c r="EG139" s="185">
        <f t="shared" si="17"/>
        <v>0</v>
      </c>
      <c r="EH139" s="185">
        <f t="shared" si="18"/>
        <v>0</v>
      </c>
      <c r="EI139" s="365"/>
      <c r="EJ139" s="365"/>
      <c r="EK139" s="123">
        <f t="shared" si="19"/>
        <v>0</v>
      </c>
      <c r="EL139" s="123">
        <f t="shared" si="63"/>
        <v>0</v>
      </c>
      <c r="EM139" s="116">
        <f t="shared" si="20"/>
        <v>0</v>
      </c>
      <c r="EN139" s="115"/>
      <c r="EO139" s="115"/>
      <c r="EP139" s="115"/>
      <c r="EQ139" s="365"/>
      <c r="ER139" s="116">
        <f t="shared" si="64"/>
        <v>0</v>
      </c>
      <c r="ES139" s="365"/>
      <c r="ET139" s="123">
        <f t="shared" si="65"/>
        <v>0</v>
      </c>
      <c r="EU139" s="116">
        <f t="shared" si="66"/>
        <v>0</v>
      </c>
      <c r="EV139" s="218"/>
      <c r="EW139" s="116">
        <f t="shared" si="67"/>
        <v>0</v>
      </c>
      <c r="EX139" s="218"/>
      <c r="EY139" s="116">
        <f t="shared" si="68"/>
        <v>0</v>
      </c>
      <c r="EZ139" s="116">
        <f t="shared" si="69"/>
        <v>0</v>
      </c>
      <c r="FA139" s="218"/>
      <c r="FB139" s="116">
        <f t="shared" si="70"/>
        <v>0</v>
      </c>
      <c r="FC139" s="218"/>
      <c r="FD139" s="116">
        <f t="shared" si="71"/>
        <v>0</v>
      </c>
      <c r="FE139" s="116">
        <f t="shared" si="72"/>
        <v>0</v>
      </c>
      <c r="FF139" s="115"/>
      <c r="FG139" s="115"/>
      <c r="FH139" s="115"/>
      <c r="FI139" s="115"/>
      <c r="FJ139" s="115"/>
      <c r="FK139" s="110">
        <f>$T132</f>
        <v>0</v>
      </c>
      <c r="FL139" s="118" t="str">
        <f>IF($G132="","ACTI","DELD")</f>
        <v>ACTI</v>
      </c>
      <c r="FM139" s="119" t="str">
        <f>$I132 &amp; "." &amp; $AA139 &amp; ".1"</f>
        <v>.5.1</v>
      </c>
      <c r="FN139" s="427"/>
      <c r="FO139" s="201"/>
      <c r="FP139" s="360"/>
      <c r="FQ139" s="360"/>
      <c r="FR139" s="360"/>
      <c r="FS139" s="204">
        <f t="shared" si="21"/>
        <v>0</v>
      </c>
      <c r="FT139" s="9"/>
      <c r="FU139" s="9"/>
      <c r="FV139" s="9"/>
      <c r="FW139" s="9"/>
      <c r="FX139" s="205"/>
      <c r="FY139" s="9"/>
      <c r="FZ139" s="206"/>
      <c r="GA139" s="46"/>
      <c r="GD139" s="192">
        <f>M132</f>
        <v>0</v>
      </c>
      <c r="GE139" s="192">
        <f>N132</f>
        <v>0</v>
      </c>
      <c r="GF139" s="193" t="str">
        <f>MID(Q132,1,50) &amp; LEN(Q132)</f>
        <v>0</v>
      </c>
      <c r="GG139" s="192" t="str">
        <f>IF(S132="производство комбинированная выработка","COGENERATION","HEATING")</f>
        <v>HEATING</v>
      </c>
      <c r="GH139" s="194" t="str">
        <f t="shared" si="22"/>
        <v>Мазут :: ACTI</v>
      </c>
      <c r="GI139" s="194" t="str">
        <f t="shared" si="23"/>
        <v>0::0::0::HEATING::Мазут :: ACTI</v>
      </c>
      <c r="GJ139" s="10"/>
      <c r="GK139" s="10"/>
      <c r="GL139" s="10"/>
      <c r="GM139" s="10"/>
    </row>
    <row r="140" spans="1:195" s="75" customFormat="1" ht="12" hidden="1" customHeight="1">
      <c r="F140" s="200"/>
      <c r="G140" s="406"/>
      <c r="H140" s="411"/>
      <c r="I140" s="412"/>
      <c r="J140" s="417"/>
      <c r="K140" s="417"/>
      <c r="L140" s="419"/>
      <c r="M140" s="418"/>
      <c r="N140" s="418"/>
      <c r="O140" s="418"/>
      <c r="P140" s="415"/>
      <c r="Q140" s="416"/>
      <c r="R140" s="426"/>
      <c r="S140" s="410"/>
      <c r="T140" s="432"/>
      <c r="U140" s="412"/>
      <c r="V140"/>
      <c r="W140"/>
      <c r="X140"/>
      <c r="Y140" s="425"/>
      <c r="Z140" s="112"/>
      <c r="AA140" s="111">
        <v>6</v>
      </c>
      <c r="AB140" s="113" t="s">
        <v>1620</v>
      </c>
      <c r="AC140" s="121" t="str">
        <f t="shared" si="24"/>
        <v>Нефть</v>
      </c>
      <c r="AD140" s="191" t="str">
        <f t="shared" si="0"/>
        <v>Нефть :: ACTI</v>
      </c>
      <c r="AE140" s="122"/>
      <c r="AF140" s="116">
        <f t="shared" si="1"/>
        <v>0</v>
      </c>
      <c r="AG140" s="185">
        <f t="shared" si="25"/>
        <v>0</v>
      </c>
      <c r="AH140" s="185">
        <f t="shared" si="26"/>
        <v>0</v>
      </c>
      <c r="AI140" s="185">
        <f t="shared" si="2"/>
        <v>0</v>
      </c>
      <c r="AJ140" s="185">
        <f t="shared" si="3"/>
        <v>0</v>
      </c>
      <c r="AK140" s="122"/>
      <c r="AL140" s="122"/>
      <c r="AM140" s="123">
        <f t="shared" si="4"/>
        <v>0</v>
      </c>
      <c r="AN140" s="123">
        <f t="shared" si="27"/>
        <v>0</v>
      </c>
      <c r="AO140" s="116">
        <f t="shared" si="5"/>
        <v>0</v>
      </c>
      <c r="AP140" s="115"/>
      <c r="AQ140" s="115"/>
      <c r="AR140" s="115"/>
      <c r="AS140" s="122"/>
      <c r="AT140" s="116">
        <f t="shared" si="28"/>
        <v>0</v>
      </c>
      <c r="AU140" s="122"/>
      <c r="AV140" s="123">
        <f t="shared" si="29"/>
        <v>0</v>
      </c>
      <c r="AW140" s="116">
        <f t="shared" si="30"/>
        <v>0</v>
      </c>
      <c r="AX140" s="117"/>
      <c r="AY140" s="116">
        <f t="shared" si="31"/>
        <v>0</v>
      </c>
      <c r="AZ140" s="117"/>
      <c r="BA140" s="116">
        <f t="shared" si="32"/>
        <v>0</v>
      </c>
      <c r="BB140" s="116">
        <f t="shared" si="33"/>
        <v>0</v>
      </c>
      <c r="BC140" s="117"/>
      <c r="BD140" s="116">
        <f t="shared" si="34"/>
        <v>0</v>
      </c>
      <c r="BE140" s="117"/>
      <c r="BF140" s="116">
        <f t="shared" si="35"/>
        <v>0</v>
      </c>
      <c r="BG140" s="116">
        <f t="shared" si="36"/>
        <v>0</v>
      </c>
      <c r="BH140" s="115"/>
      <c r="BI140" s="115"/>
      <c r="BJ140" s="115"/>
      <c r="BK140" s="115"/>
      <c r="BL140" s="115"/>
      <c r="BM140" s="365"/>
      <c r="BN140" s="116">
        <f t="shared" si="6"/>
        <v>0</v>
      </c>
      <c r="BO140" s="185">
        <f t="shared" si="37"/>
        <v>0</v>
      </c>
      <c r="BP140" s="185">
        <f t="shared" si="38"/>
        <v>0</v>
      </c>
      <c r="BQ140" s="185">
        <f t="shared" si="7"/>
        <v>0</v>
      </c>
      <c r="BR140" s="185">
        <f t="shared" si="8"/>
        <v>0</v>
      </c>
      <c r="BS140" s="365"/>
      <c r="BT140" s="365"/>
      <c r="BU140" s="123">
        <f t="shared" si="9"/>
        <v>0</v>
      </c>
      <c r="BV140" s="123">
        <f t="shared" si="39"/>
        <v>0</v>
      </c>
      <c r="BW140" s="116">
        <f t="shared" si="10"/>
        <v>0</v>
      </c>
      <c r="BX140" s="115"/>
      <c r="BY140" s="115"/>
      <c r="BZ140" s="115"/>
      <c r="CA140" s="365"/>
      <c r="CB140" s="116">
        <f t="shared" si="40"/>
        <v>0</v>
      </c>
      <c r="CC140" s="365"/>
      <c r="CD140" s="123">
        <f t="shared" si="41"/>
        <v>0</v>
      </c>
      <c r="CE140" s="116">
        <f t="shared" si="42"/>
        <v>0</v>
      </c>
      <c r="CF140" s="218"/>
      <c r="CG140" s="116">
        <f t="shared" si="43"/>
        <v>0</v>
      </c>
      <c r="CH140" s="218"/>
      <c r="CI140" s="116">
        <f t="shared" si="44"/>
        <v>0</v>
      </c>
      <c r="CJ140" s="116">
        <f t="shared" si="45"/>
        <v>0</v>
      </c>
      <c r="CK140" s="218"/>
      <c r="CL140" s="116">
        <f t="shared" si="46"/>
        <v>0</v>
      </c>
      <c r="CM140" s="218"/>
      <c r="CN140" s="116">
        <f t="shared" si="47"/>
        <v>0</v>
      </c>
      <c r="CO140" s="116">
        <f t="shared" si="48"/>
        <v>0</v>
      </c>
      <c r="CP140" s="115"/>
      <c r="CQ140" s="115"/>
      <c r="CR140" s="115"/>
      <c r="CS140" s="115"/>
      <c r="CT140" s="115"/>
      <c r="CU140" s="365"/>
      <c r="CV140" s="116">
        <f t="shared" si="11"/>
        <v>0</v>
      </c>
      <c r="CW140" s="185">
        <f t="shared" si="49"/>
        <v>0</v>
      </c>
      <c r="CX140" s="185">
        <f t="shared" si="50"/>
        <v>0</v>
      </c>
      <c r="CY140" s="185">
        <f t="shared" si="12"/>
        <v>0</v>
      </c>
      <c r="CZ140" s="185">
        <f t="shared" si="13"/>
        <v>0</v>
      </c>
      <c r="DA140" s="365"/>
      <c r="DB140" s="365"/>
      <c r="DC140" s="123">
        <f t="shared" si="14"/>
        <v>0</v>
      </c>
      <c r="DD140" s="123">
        <f t="shared" si="51"/>
        <v>0</v>
      </c>
      <c r="DE140" s="116">
        <f t="shared" si="15"/>
        <v>0</v>
      </c>
      <c r="DF140" s="115"/>
      <c r="DG140" s="115"/>
      <c r="DH140" s="115"/>
      <c r="DI140" s="365"/>
      <c r="DJ140" s="116">
        <f t="shared" si="52"/>
        <v>0</v>
      </c>
      <c r="DK140" s="365"/>
      <c r="DL140" s="123">
        <f t="shared" si="53"/>
        <v>0</v>
      </c>
      <c r="DM140" s="116">
        <f t="shared" si="54"/>
        <v>0</v>
      </c>
      <c r="DN140" s="218"/>
      <c r="DO140" s="116">
        <f t="shared" si="55"/>
        <v>0</v>
      </c>
      <c r="DP140" s="218"/>
      <c r="DQ140" s="116">
        <f t="shared" si="56"/>
        <v>0</v>
      </c>
      <c r="DR140" s="116">
        <f t="shared" si="57"/>
        <v>0</v>
      </c>
      <c r="DS140" s="218"/>
      <c r="DT140" s="116">
        <f t="shared" si="58"/>
        <v>0</v>
      </c>
      <c r="DU140" s="218"/>
      <c r="DV140" s="116">
        <f t="shared" si="59"/>
        <v>0</v>
      </c>
      <c r="DW140" s="116">
        <f t="shared" si="60"/>
        <v>0</v>
      </c>
      <c r="DX140" s="115"/>
      <c r="DY140" s="115"/>
      <c r="DZ140" s="115"/>
      <c r="EA140" s="115"/>
      <c r="EB140" s="115"/>
      <c r="EC140" s="365"/>
      <c r="ED140" s="116">
        <f t="shared" si="16"/>
        <v>0</v>
      </c>
      <c r="EE140" s="185">
        <f t="shared" si="61"/>
        <v>0</v>
      </c>
      <c r="EF140" s="185">
        <f t="shared" si="62"/>
        <v>0</v>
      </c>
      <c r="EG140" s="185">
        <f t="shared" si="17"/>
        <v>0</v>
      </c>
      <c r="EH140" s="185">
        <f t="shared" si="18"/>
        <v>0</v>
      </c>
      <c r="EI140" s="365"/>
      <c r="EJ140" s="365"/>
      <c r="EK140" s="123">
        <f t="shared" si="19"/>
        <v>0</v>
      </c>
      <c r="EL140" s="123">
        <f t="shared" si="63"/>
        <v>0</v>
      </c>
      <c r="EM140" s="116">
        <f t="shared" si="20"/>
        <v>0</v>
      </c>
      <c r="EN140" s="115"/>
      <c r="EO140" s="115"/>
      <c r="EP140" s="115"/>
      <c r="EQ140" s="365"/>
      <c r="ER140" s="116">
        <f t="shared" si="64"/>
        <v>0</v>
      </c>
      <c r="ES140" s="365"/>
      <c r="ET140" s="123">
        <f t="shared" si="65"/>
        <v>0</v>
      </c>
      <c r="EU140" s="116">
        <f t="shared" si="66"/>
        <v>0</v>
      </c>
      <c r="EV140" s="218"/>
      <c r="EW140" s="116">
        <f t="shared" si="67"/>
        <v>0</v>
      </c>
      <c r="EX140" s="218"/>
      <c r="EY140" s="116">
        <f t="shared" si="68"/>
        <v>0</v>
      </c>
      <c r="EZ140" s="116">
        <f t="shared" si="69"/>
        <v>0</v>
      </c>
      <c r="FA140" s="218"/>
      <c r="FB140" s="116">
        <f t="shared" si="70"/>
        <v>0</v>
      </c>
      <c r="FC140" s="218"/>
      <c r="FD140" s="116">
        <f t="shared" si="71"/>
        <v>0</v>
      </c>
      <c r="FE140" s="116">
        <f t="shared" si="72"/>
        <v>0</v>
      </c>
      <c r="FF140" s="115"/>
      <c r="FG140" s="115"/>
      <c r="FH140" s="115"/>
      <c r="FI140" s="115"/>
      <c r="FJ140" s="115"/>
      <c r="FK140" s="110">
        <f>$T132</f>
        <v>0</v>
      </c>
      <c r="FL140" s="118" t="str">
        <f>IF($G132="","ACTI","DELD")</f>
        <v>ACTI</v>
      </c>
      <c r="FM140" s="119" t="str">
        <f>$I132 &amp; "." &amp; $AA140 &amp; ".1"</f>
        <v>.6.1</v>
      </c>
      <c r="FN140" s="427"/>
      <c r="FO140" s="201"/>
      <c r="FP140" s="360"/>
      <c r="FQ140" s="360"/>
      <c r="FR140" s="360"/>
      <c r="FS140" s="204">
        <f t="shared" si="21"/>
        <v>0</v>
      </c>
      <c r="FT140" s="9"/>
      <c r="FU140" s="9"/>
      <c r="FV140" s="9"/>
      <c r="FW140" s="9"/>
      <c r="FX140" s="205"/>
      <c r="FY140" s="9"/>
      <c r="FZ140" s="206"/>
      <c r="GA140" s="46"/>
      <c r="GD140" s="192">
        <f>M132</f>
        <v>0</v>
      </c>
      <c r="GE140" s="192">
        <f>N132</f>
        <v>0</v>
      </c>
      <c r="GF140" s="193" t="str">
        <f>MID(Q132,1,50) &amp; LEN(Q132)</f>
        <v>0</v>
      </c>
      <c r="GG140" s="192" t="str">
        <f>IF(S132="производство комбинированная выработка","COGENERATION","HEATING")</f>
        <v>HEATING</v>
      </c>
      <c r="GH140" s="194" t="str">
        <f t="shared" si="22"/>
        <v>Нефть :: ACTI</v>
      </c>
      <c r="GI140" s="194" t="str">
        <f t="shared" si="23"/>
        <v>0::0::0::HEATING::Нефть :: ACTI</v>
      </c>
      <c r="GJ140" s="10"/>
      <c r="GK140" s="10"/>
      <c r="GL140" s="10"/>
      <c r="GM140" s="10"/>
    </row>
    <row r="141" spans="1:195" s="75" customFormat="1" ht="12" hidden="1" customHeight="1">
      <c r="F141" s="200"/>
      <c r="G141" s="406"/>
      <c r="H141" s="411"/>
      <c r="I141" s="412"/>
      <c r="J141" s="417"/>
      <c r="K141" s="417"/>
      <c r="L141" s="419"/>
      <c r="M141" s="418"/>
      <c r="N141" s="418"/>
      <c r="O141" s="418"/>
      <c r="P141" s="415"/>
      <c r="Q141" s="416"/>
      <c r="R141" s="426"/>
      <c r="S141" s="410"/>
      <c r="T141" s="432"/>
      <c r="U141" s="412"/>
      <c r="V141"/>
      <c r="W141"/>
      <c r="X141"/>
      <c r="Y141" s="425"/>
      <c r="Z141" s="112"/>
      <c r="AA141" s="111">
        <v>7</v>
      </c>
      <c r="AB141" s="113" t="s">
        <v>1578</v>
      </c>
      <c r="AC141" s="121" t="str">
        <f t="shared" si="24"/>
        <v>Уголь</v>
      </c>
      <c r="AD141" s="191" t="str">
        <f t="shared" si="0"/>
        <v>Уголь :: ACTI</v>
      </c>
      <c r="AE141" s="122"/>
      <c r="AF141" s="116">
        <f t="shared" si="1"/>
        <v>0</v>
      </c>
      <c r="AG141" s="185">
        <f t="shared" si="25"/>
        <v>0</v>
      </c>
      <c r="AH141" s="185">
        <f t="shared" si="26"/>
        <v>0</v>
      </c>
      <c r="AI141" s="185">
        <f t="shared" si="2"/>
        <v>0</v>
      </c>
      <c r="AJ141" s="185">
        <f t="shared" si="3"/>
        <v>0</v>
      </c>
      <c r="AK141" s="122"/>
      <c r="AL141" s="122"/>
      <c r="AM141" s="123">
        <f t="shared" si="4"/>
        <v>0</v>
      </c>
      <c r="AN141" s="123">
        <f t="shared" si="27"/>
        <v>0</v>
      </c>
      <c r="AO141" s="116">
        <f t="shared" si="5"/>
        <v>0</v>
      </c>
      <c r="AP141" s="115"/>
      <c r="AQ141" s="115"/>
      <c r="AR141" s="115"/>
      <c r="AS141" s="122"/>
      <c r="AT141" s="116">
        <f t="shared" si="28"/>
        <v>0</v>
      </c>
      <c r="AU141" s="122"/>
      <c r="AV141" s="123">
        <f t="shared" si="29"/>
        <v>0</v>
      </c>
      <c r="AW141" s="116">
        <f t="shared" si="30"/>
        <v>0</v>
      </c>
      <c r="AX141" s="117"/>
      <c r="AY141" s="116">
        <f t="shared" si="31"/>
        <v>0</v>
      </c>
      <c r="AZ141" s="117"/>
      <c r="BA141" s="116">
        <f t="shared" si="32"/>
        <v>0</v>
      </c>
      <c r="BB141" s="116">
        <f t="shared" si="33"/>
        <v>0</v>
      </c>
      <c r="BC141" s="117"/>
      <c r="BD141" s="116">
        <f t="shared" si="34"/>
        <v>0</v>
      </c>
      <c r="BE141" s="117"/>
      <c r="BF141" s="116">
        <f t="shared" si="35"/>
        <v>0</v>
      </c>
      <c r="BG141" s="116">
        <f t="shared" si="36"/>
        <v>0</v>
      </c>
      <c r="BH141" s="115"/>
      <c r="BI141" s="115"/>
      <c r="BJ141" s="115"/>
      <c r="BK141" s="115"/>
      <c r="BL141" s="115"/>
      <c r="BM141" s="365"/>
      <c r="BN141" s="116">
        <f t="shared" si="6"/>
        <v>0</v>
      </c>
      <c r="BO141" s="185">
        <f t="shared" si="37"/>
        <v>0</v>
      </c>
      <c r="BP141" s="185">
        <f t="shared" si="38"/>
        <v>0</v>
      </c>
      <c r="BQ141" s="185">
        <f t="shared" si="7"/>
        <v>0</v>
      </c>
      <c r="BR141" s="185">
        <f t="shared" si="8"/>
        <v>0</v>
      </c>
      <c r="BS141" s="365"/>
      <c r="BT141" s="365"/>
      <c r="BU141" s="123">
        <f t="shared" si="9"/>
        <v>0</v>
      </c>
      <c r="BV141" s="123">
        <f t="shared" si="39"/>
        <v>0</v>
      </c>
      <c r="BW141" s="116">
        <f t="shared" si="10"/>
        <v>0</v>
      </c>
      <c r="BX141" s="115"/>
      <c r="BY141" s="115"/>
      <c r="BZ141" s="115"/>
      <c r="CA141" s="365"/>
      <c r="CB141" s="116">
        <f t="shared" si="40"/>
        <v>0</v>
      </c>
      <c r="CC141" s="365"/>
      <c r="CD141" s="123">
        <f t="shared" si="41"/>
        <v>0</v>
      </c>
      <c r="CE141" s="116">
        <f t="shared" si="42"/>
        <v>0</v>
      </c>
      <c r="CF141" s="218"/>
      <c r="CG141" s="116">
        <f t="shared" si="43"/>
        <v>0</v>
      </c>
      <c r="CH141" s="218"/>
      <c r="CI141" s="116">
        <f t="shared" si="44"/>
        <v>0</v>
      </c>
      <c r="CJ141" s="116">
        <f t="shared" si="45"/>
        <v>0</v>
      </c>
      <c r="CK141" s="218"/>
      <c r="CL141" s="116">
        <f t="shared" si="46"/>
        <v>0</v>
      </c>
      <c r="CM141" s="218"/>
      <c r="CN141" s="116">
        <f t="shared" si="47"/>
        <v>0</v>
      </c>
      <c r="CO141" s="116">
        <f t="shared" si="48"/>
        <v>0</v>
      </c>
      <c r="CP141" s="115"/>
      <c r="CQ141" s="115"/>
      <c r="CR141" s="115"/>
      <c r="CS141" s="115"/>
      <c r="CT141" s="115"/>
      <c r="CU141" s="365"/>
      <c r="CV141" s="116">
        <f t="shared" si="11"/>
        <v>0</v>
      </c>
      <c r="CW141" s="185">
        <f t="shared" si="49"/>
        <v>0</v>
      </c>
      <c r="CX141" s="185">
        <f t="shared" si="50"/>
        <v>0</v>
      </c>
      <c r="CY141" s="185">
        <f t="shared" si="12"/>
        <v>0</v>
      </c>
      <c r="CZ141" s="185">
        <f t="shared" si="13"/>
        <v>0</v>
      </c>
      <c r="DA141" s="365"/>
      <c r="DB141" s="365"/>
      <c r="DC141" s="123">
        <f t="shared" si="14"/>
        <v>0</v>
      </c>
      <c r="DD141" s="123">
        <f t="shared" si="51"/>
        <v>0</v>
      </c>
      <c r="DE141" s="116">
        <f t="shared" si="15"/>
        <v>0</v>
      </c>
      <c r="DF141" s="115"/>
      <c r="DG141" s="115"/>
      <c r="DH141" s="115"/>
      <c r="DI141" s="365"/>
      <c r="DJ141" s="116">
        <f t="shared" si="52"/>
        <v>0</v>
      </c>
      <c r="DK141" s="365"/>
      <c r="DL141" s="123">
        <f t="shared" si="53"/>
        <v>0</v>
      </c>
      <c r="DM141" s="116">
        <f t="shared" si="54"/>
        <v>0</v>
      </c>
      <c r="DN141" s="218"/>
      <c r="DO141" s="116">
        <f t="shared" si="55"/>
        <v>0</v>
      </c>
      <c r="DP141" s="218"/>
      <c r="DQ141" s="116">
        <f t="shared" si="56"/>
        <v>0</v>
      </c>
      <c r="DR141" s="116">
        <f t="shared" si="57"/>
        <v>0</v>
      </c>
      <c r="DS141" s="218"/>
      <c r="DT141" s="116">
        <f t="shared" si="58"/>
        <v>0</v>
      </c>
      <c r="DU141" s="218"/>
      <c r="DV141" s="116">
        <f t="shared" si="59"/>
        <v>0</v>
      </c>
      <c r="DW141" s="116">
        <f t="shared" si="60"/>
        <v>0</v>
      </c>
      <c r="DX141" s="115"/>
      <c r="DY141" s="115"/>
      <c r="DZ141" s="115"/>
      <c r="EA141" s="115"/>
      <c r="EB141" s="115"/>
      <c r="EC141" s="365"/>
      <c r="ED141" s="116">
        <f t="shared" si="16"/>
        <v>0</v>
      </c>
      <c r="EE141" s="185">
        <f t="shared" si="61"/>
        <v>0</v>
      </c>
      <c r="EF141" s="185">
        <f t="shared" si="62"/>
        <v>0</v>
      </c>
      <c r="EG141" s="185">
        <f t="shared" si="17"/>
        <v>0</v>
      </c>
      <c r="EH141" s="185">
        <f t="shared" si="18"/>
        <v>0</v>
      </c>
      <c r="EI141" s="365"/>
      <c r="EJ141" s="365"/>
      <c r="EK141" s="123">
        <f t="shared" si="19"/>
        <v>0</v>
      </c>
      <c r="EL141" s="123">
        <f t="shared" si="63"/>
        <v>0</v>
      </c>
      <c r="EM141" s="116">
        <f t="shared" si="20"/>
        <v>0</v>
      </c>
      <c r="EN141" s="115"/>
      <c r="EO141" s="115"/>
      <c r="EP141" s="115"/>
      <c r="EQ141" s="365"/>
      <c r="ER141" s="116">
        <f t="shared" si="64"/>
        <v>0</v>
      </c>
      <c r="ES141" s="365"/>
      <c r="ET141" s="123">
        <f t="shared" si="65"/>
        <v>0</v>
      </c>
      <c r="EU141" s="116">
        <f t="shared" si="66"/>
        <v>0</v>
      </c>
      <c r="EV141" s="218"/>
      <c r="EW141" s="116">
        <f t="shared" si="67"/>
        <v>0</v>
      </c>
      <c r="EX141" s="218"/>
      <c r="EY141" s="116">
        <f t="shared" si="68"/>
        <v>0</v>
      </c>
      <c r="EZ141" s="116">
        <f t="shared" si="69"/>
        <v>0</v>
      </c>
      <c r="FA141" s="218"/>
      <c r="FB141" s="116">
        <f t="shared" si="70"/>
        <v>0</v>
      </c>
      <c r="FC141" s="218"/>
      <c r="FD141" s="116">
        <f t="shared" si="71"/>
        <v>0</v>
      </c>
      <c r="FE141" s="116">
        <f t="shared" si="72"/>
        <v>0</v>
      </c>
      <c r="FF141" s="115"/>
      <c r="FG141" s="115"/>
      <c r="FH141" s="115"/>
      <c r="FI141" s="115"/>
      <c r="FJ141" s="115"/>
      <c r="FK141" s="110">
        <f>$T132</f>
        <v>0</v>
      </c>
      <c r="FL141" s="118" t="str">
        <f>IF($G132="","ACTI","DELD")</f>
        <v>ACTI</v>
      </c>
      <c r="FM141" s="119" t="str">
        <f>$I132 &amp; "." &amp; $AA141 &amp; ".1"</f>
        <v>.7.1</v>
      </c>
      <c r="FN141" s="427"/>
      <c r="FO141" s="201"/>
      <c r="FP141" s="360"/>
      <c r="FQ141" s="360"/>
      <c r="FR141" s="360"/>
      <c r="FS141" s="204">
        <f t="shared" si="21"/>
        <v>0</v>
      </c>
      <c r="FT141" s="9"/>
      <c r="FU141" s="9"/>
      <c r="FV141" s="9"/>
      <c r="FW141" s="9"/>
      <c r="FX141" s="205"/>
      <c r="FY141" s="9"/>
      <c r="FZ141" s="206"/>
      <c r="GA141" s="46"/>
      <c r="GD141" s="192">
        <f>M132</f>
        <v>0</v>
      </c>
      <c r="GE141" s="192">
        <f>N132</f>
        <v>0</v>
      </c>
      <c r="GF141" s="193" t="str">
        <f>MID(Q132,1,50) &amp; LEN(Q132)</f>
        <v>0</v>
      </c>
      <c r="GG141" s="192" t="str">
        <f>IF(S132="производство комбинированная выработка","COGENERATION","HEATING")</f>
        <v>HEATING</v>
      </c>
      <c r="GH141" s="194" t="str">
        <f t="shared" si="22"/>
        <v>Уголь :: ACTI</v>
      </c>
      <c r="GI141" s="194" t="str">
        <f t="shared" si="23"/>
        <v>0::0::0::HEATING::Уголь :: ACTI</v>
      </c>
      <c r="GJ141" s="10"/>
      <c r="GK141" s="10"/>
      <c r="GL141" s="10"/>
      <c r="GM141" s="10"/>
    </row>
    <row r="142" spans="1:195" s="75" customFormat="1" ht="12" hidden="1" customHeight="1">
      <c r="F142" s="200"/>
      <c r="G142" s="406"/>
      <c r="H142" s="411"/>
      <c r="I142" s="412"/>
      <c r="J142" s="417"/>
      <c r="K142" s="417"/>
      <c r="L142" s="419"/>
      <c r="M142" s="418"/>
      <c r="N142" s="418"/>
      <c r="O142" s="418"/>
      <c r="P142" s="415"/>
      <c r="Q142" s="416"/>
      <c r="R142" s="426"/>
      <c r="S142" s="410"/>
      <c r="T142" s="432"/>
      <c r="U142" s="412"/>
      <c r="V142"/>
      <c r="W142"/>
      <c r="X142"/>
      <c r="Y142" s="425"/>
      <c r="Z142" s="112"/>
      <c r="AA142" s="424">
        <v>8</v>
      </c>
      <c r="AB142" s="413" t="s">
        <v>1621</v>
      </c>
      <c r="AC142" s="124" t="s">
        <v>1663</v>
      </c>
      <c r="AD142" s="191" t="str">
        <f t="shared" si="0"/>
        <v>Энергия :: ACTI</v>
      </c>
      <c r="AE142" s="115"/>
      <c r="AF142" s="115"/>
      <c r="AG142" s="186"/>
      <c r="AH142" s="186"/>
      <c r="AI142" s="186"/>
      <c r="AJ142" s="186"/>
      <c r="AK142" s="115"/>
      <c r="AL142" s="115"/>
      <c r="AM142" s="115"/>
      <c r="AN142" s="115"/>
      <c r="AO142" s="115"/>
      <c r="AP142" s="115"/>
      <c r="AQ142" s="115"/>
      <c r="AR142" s="115"/>
      <c r="AS142" s="115"/>
      <c r="AT142" s="115"/>
      <c r="AU142" s="115"/>
      <c r="AV142" s="115"/>
      <c r="AW142" s="115"/>
      <c r="AX142" s="115"/>
      <c r="AY142" s="115"/>
      <c r="AZ142" s="115"/>
      <c r="BA142" s="115"/>
      <c r="BB142" s="115"/>
      <c r="BC142" s="115"/>
      <c r="BD142" s="115"/>
      <c r="BE142" s="115"/>
      <c r="BF142" s="115"/>
      <c r="BG142" s="115"/>
      <c r="BH142" s="123">
        <f>BJ142*BK142</f>
        <v>0</v>
      </c>
      <c r="BI142" s="116">
        <f>IF($FK142="да",BH142*1.18,BH142)</f>
        <v>0</v>
      </c>
      <c r="BJ142" s="117"/>
      <c r="BK142" s="117"/>
      <c r="BL142" s="116">
        <f>IF($FK142="да",BK142*1.18,BK142)</f>
        <v>0</v>
      </c>
      <c r="BM142" s="115"/>
      <c r="BN142" s="115"/>
      <c r="BO142" s="186"/>
      <c r="BP142" s="186"/>
      <c r="BQ142" s="186"/>
      <c r="BR142" s="186"/>
      <c r="BS142" s="115"/>
      <c r="BT142" s="115"/>
      <c r="BU142" s="115"/>
      <c r="BV142" s="115"/>
      <c r="BW142" s="115"/>
      <c r="BX142" s="115"/>
      <c r="BY142" s="115"/>
      <c r="BZ142" s="115"/>
      <c r="CA142" s="115"/>
      <c r="CB142" s="115"/>
      <c r="CC142" s="115"/>
      <c r="CD142" s="115"/>
      <c r="CE142" s="115"/>
      <c r="CF142" s="115"/>
      <c r="CG142" s="115"/>
      <c r="CH142" s="115"/>
      <c r="CI142" s="115"/>
      <c r="CJ142" s="115"/>
      <c r="CK142" s="115"/>
      <c r="CL142" s="115"/>
      <c r="CM142" s="115"/>
      <c r="CN142" s="115"/>
      <c r="CO142" s="115"/>
      <c r="CP142" s="123">
        <f>CR142*CS142</f>
        <v>0</v>
      </c>
      <c r="CQ142" s="116">
        <f>IF($FK142="да",CP142*1.18,CP142)</f>
        <v>0</v>
      </c>
      <c r="CR142" s="218"/>
      <c r="CS142" s="218"/>
      <c r="CT142" s="116">
        <f>IF($FK142="да",CS142*1.18,CS142)</f>
        <v>0</v>
      </c>
      <c r="CU142" s="115"/>
      <c r="CV142" s="115"/>
      <c r="CW142" s="186"/>
      <c r="CX142" s="186"/>
      <c r="CY142" s="186"/>
      <c r="CZ142" s="186"/>
      <c r="DA142" s="115"/>
      <c r="DB142" s="115"/>
      <c r="DC142" s="115"/>
      <c r="DD142" s="115"/>
      <c r="DE142" s="115"/>
      <c r="DF142" s="115"/>
      <c r="DG142" s="115"/>
      <c r="DH142" s="115"/>
      <c r="DI142" s="115"/>
      <c r="DJ142" s="115"/>
      <c r="DK142" s="115"/>
      <c r="DL142" s="115"/>
      <c r="DM142" s="115"/>
      <c r="DN142" s="115"/>
      <c r="DO142" s="115"/>
      <c r="DP142" s="115"/>
      <c r="DQ142" s="115"/>
      <c r="DR142" s="115"/>
      <c r="DS142" s="115"/>
      <c r="DT142" s="115"/>
      <c r="DU142" s="115"/>
      <c r="DV142" s="115"/>
      <c r="DW142" s="115"/>
      <c r="DX142" s="123">
        <f>DZ142*EA142</f>
        <v>0</v>
      </c>
      <c r="DY142" s="116">
        <f>IF($FK142="да",DX142*1.18,DX142)</f>
        <v>0</v>
      </c>
      <c r="DZ142" s="218"/>
      <c r="EA142" s="218"/>
      <c r="EB142" s="116">
        <f>IF($FK142="да",EA142*1.18,EA142)</f>
        <v>0</v>
      </c>
      <c r="EC142" s="115"/>
      <c r="ED142" s="115"/>
      <c r="EE142" s="186"/>
      <c r="EF142" s="186"/>
      <c r="EG142" s="186"/>
      <c r="EH142" s="186"/>
      <c r="EI142" s="115"/>
      <c r="EJ142" s="115"/>
      <c r="EK142" s="115"/>
      <c r="EL142" s="115"/>
      <c r="EM142" s="115"/>
      <c r="EN142" s="115"/>
      <c r="EO142" s="115"/>
      <c r="EP142" s="115"/>
      <c r="EQ142" s="115"/>
      <c r="ER142" s="115"/>
      <c r="ES142" s="115"/>
      <c r="ET142" s="115"/>
      <c r="EU142" s="115"/>
      <c r="EV142" s="115"/>
      <c r="EW142" s="115"/>
      <c r="EX142" s="115"/>
      <c r="EY142" s="115"/>
      <c r="EZ142" s="115"/>
      <c r="FA142" s="115"/>
      <c r="FB142" s="115"/>
      <c r="FC142" s="115"/>
      <c r="FD142" s="115"/>
      <c r="FE142" s="115"/>
      <c r="FF142" s="123">
        <f>FH142*FI142</f>
        <v>0</v>
      </c>
      <c r="FG142" s="116">
        <f>IF($FK142="да",FF142*1.18,FF142)</f>
        <v>0</v>
      </c>
      <c r="FH142" s="218"/>
      <c r="FI142" s="218"/>
      <c r="FJ142" s="116">
        <f>IF($FK142="да",FI142*1.18,FI142)</f>
        <v>0</v>
      </c>
      <c r="FK142" s="110">
        <f>$T132</f>
        <v>0</v>
      </c>
      <c r="FL142" s="118" t="str">
        <f>IF($G132="","ACTI","DELD")</f>
        <v>ACTI</v>
      </c>
      <c r="FM142" s="119" t="str">
        <f>$I132 &amp; "." &amp; $AA142 &amp; ".1"</f>
        <v>.8.1</v>
      </c>
      <c r="FN142" s="427"/>
      <c r="FO142" s="423"/>
      <c r="FP142" s="420"/>
      <c r="FQ142" s="420"/>
      <c r="FR142" s="420"/>
      <c r="FS142" s="204">
        <f t="shared" si="21"/>
        <v>0</v>
      </c>
      <c r="FT142" s="9"/>
      <c r="FU142" s="9"/>
      <c r="FV142" s="9"/>
      <c r="FW142" s="9"/>
      <c r="FX142" s="205"/>
      <c r="FY142" s="9"/>
      <c r="FZ142" s="206"/>
      <c r="GA142" s="46"/>
      <c r="GD142" s="192">
        <f>M132</f>
        <v>0</v>
      </c>
      <c r="GE142" s="192">
        <f>N132</f>
        <v>0</v>
      </c>
      <c r="GF142" s="193" t="str">
        <f>MID(Q132,1,50) &amp; LEN(Q132)</f>
        <v>0</v>
      </c>
      <c r="GG142" s="192" t="str">
        <f>IF(S132="производство комбинированная выработка","COGENERATION","HEATING")</f>
        <v>HEATING</v>
      </c>
      <c r="GH142" s="194" t="str">
        <f t="shared" si="22"/>
        <v>Энергия :: ACTI</v>
      </c>
      <c r="GI142" s="194" t="str">
        <f t="shared" si="23"/>
        <v>0::0::0::HEATING::Энергия :: ACTI</v>
      </c>
      <c r="GJ142" s="10"/>
      <c r="GK142" s="10"/>
      <c r="GL142" s="10"/>
      <c r="GM142" s="10"/>
    </row>
    <row r="143" spans="1:195" s="75" customFormat="1" ht="12" hidden="1" customHeight="1">
      <c r="F143" s="200"/>
      <c r="G143" s="406"/>
      <c r="H143" s="411"/>
      <c r="I143" s="412"/>
      <c r="J143" s="417"/>
      <c r="K143" s="417"/>
      <c r="L143" s="419"/>
      <c r="M143" s="418"/>
      <c r="N143" s="418"/>
      <c r="O143" s="418"/>
      <c r="P143" s="415"/>
      <c r="Q143" s="416"/>
      <c r="R143" s="426"/>
      <c r="S143" s="410"/>
      <c r="T143" s="432"/>
      <c r="U143" s="412"/>
      <c r="V143"/>
      <c r="W143"/>
      <c r="X143"/>
      <c r="Y143" s="425"/>
      <c r="Z143" s="112"/>
      <c r="AA143" s="424"/>
      <c r="AB143" s="421"/>
      <c r="AC143" s="124" t="s">
        <v>1664</v>
      </c>
      <c r="AD143" s="191" t="str">
        <f t="shared" si="0"/>
        <v>Заявленная мощность :: ACTI</v>
      </c>
      <c r="AE143" s="115"/>
      <c r="AF143" s="115"/>
      <c r="AG143" s="186"/>
      <c r="AH143" s="186"/>
      <c r="AI143" s="186"/>
      <c r="AJ143" s="186"/>
      <c r="AK143" s="115"/>
      <c r="AL143" s="115"/>
      <c r="AM143" s="115"/>
      <c r="AN143" s="115"/>
      <c r="AO143" s="115"/>
      <c r="AP143" s="115"/>
      <c r="AQ143" s="115"/>
      <c r="AR143" s="115"/>
      <c r="AS143" s="115"/>
      <c r="AT143" s="115"/>
      <c r="AU143" s="115"/>
      <c r="AV143" s="115"/>
      <c r="AW143" s="115"/>
      <c r="AX143" s="115"/>
      <c r="AY143" s="115"/>
      <c r="AZ143" s="115"/>
      <c r="BA143" s="115"/>
      <c r="BB143" s="115"/>
      <c r="BC143" s="115"/>
      <c r="BD143" s="115"/>
      <c r="BE143" s="115"/>
      <c r="BF143" s="115"/>
      <c r="BG143" s="115"/>
      <c r="BH143" s="123">
        <f>BJ143*BK143</f>
        <v>0</v>
      </c>
      <c r="BI143" s="116">
        <f>IF($FK143="да",BH143*1.18,BH143)</f>
        <v>0</v>
      </c>
      <c r="BJ143" s="117"/>
      <c r="BK143" s="117"/>
      <c r="BL143" s="116">
        <f>IF($FK143="да",BK143*1.18,BK143)</f>
        <v>0</v>
      </c>
      <c r="BM143" s="115"/>
      <c r="BN143" s="115"/>
      <c r="BO143" s="186"/>
      <c r="BP143" s="186"/>
      <c r="BQ143" s="186"/>
      <c r="BR143" s="186"/>
      <c r="BS143" s="115"/>
      <c r="BT143" s="115"/>
      <c r="BU143" s="115"/>
      <c r="BV143" s="115"/>
      <c r="BW143" s="115"/>
      <c r="BX143" s="115"/>
      <c r="BY143" s="115"/>
      <c r="BZ143" s="115"/>
      <c r="CA143" s="115"/>
      <c r="CB143" s="115"/>
      <c r="CC143" s="115"/>
      <c r="CD143" s="115"/>
      <c r="CE143" s="115"/>
      <c r="CF143" s="115"/>
      <c r="CG143" s="115"/>
      <c r="CH143" s="115"/>
      <c r="CI143" s="115"/>
      <c r="CJ143" s="115"/>
      <c r="CK143" s="115"/>
      <c r="CL143" s="115"/>
      <c r="CM143" s="115"/>
      <c r="CN143" s="115"/>
      <c r="CO143" s="115"/>
      <c r="CP143" s="123">
        <f>CR143*CS143</f>
        <v>0</v>
      </c>
      <c r="CQ143" s="116">
        <f>IF($FK143="да",CP143*1.18,CP143)</f>
        <v>0</v>
      </c>
      <c r="CR143" s="218"/>
      <c r="CS143" s="218"/>
      <c r="CT143" s="116">
        <f>IF($FK143="да",CS143*1.18,CS143)</f>
        <v>0</v>
      </c>
      <c r="CU143" s="115"/>
      <c r="CV143" s="115"/>
      <c r="CW143" s="186"/>
      <c r="CX143" s="186"/>
      <c r="CY143" s="186"/>
      <c r="CZ143" s="186"/>
      <c r="DA143" s="115"/>
      <c r="DB143" s="115"/>
      <c r="DC143" s="115"/>
      <c r="DD143" s="115"/>
      <c r="DE143" s="115"/>
      <c r="DF143" s="115"/>
      <c r="DG143" s="115"/>
      <c r="DH143" s="115"/>
      <c r="DI143" s="115"/>
      <c r="DJ143" s="115"/>
      <c r="DK143" s="115"/>
      <c r="DL143" s="115"/>
      <c r="DM143" s="115"/>
      <c r="DN143" s="115"/>
      <c r="DO143" s="115"/>
      <c r="DP143" s="115"/>
      <c r="DQ143" s="115"/>
      <c r="DR143" s="115"/>
      <c r="DS143" s="115"/>
      <c r="DT143" s="115"/>
      <c r="DU143" s="115"/>
      <c r="DV143" s="115"/>
      <c r="DW143" s="115"/>
      <c r="DX143" s="123">
        <f>DZ143*EA143</f>
        <v>0</v>
      </c>
      <c r="DY143" s="116">
        <f>IF($FK143="да",DX143*1.18,DX143)</f>
        <v>0</v>
      </c>
      <c r="DZ143" s="218"/>
      <c r="EA143" s="218"/>
      <c r="EB143" s="116">
        <f>IF($FK143="да",EA143*1.18,EA143)</f>
        <v>0</v>
      </c>
      <c r="EC143" s="115"/>
      <c r="ED143" s="115"/>
      <c r="EE143" s="186"/>
      <c r="EF143" s="186"/>
      <c r="EG143" s="186"/>
      <c r="EH143" s="186"/>
      <c r="EI143" s="115"/>
      <c r="EJ143" s="115"/>
      <c r="EK143" s="115"/>
      <c r="EL143" s="115"/>
      <c r="EM143" s="115"/>
      <c r="EN143" s="115"/>
      <c r="EO143" s="115"/>
      <c r="EP143" s="115"/>
      <c r="EQ143" s="115"/>
      <c r="ER143" s="115"/>
      <c r="ES143" s="115"/>
      <c r="ET143" s="115"/>
      <c r="EU143" s="115"/>
      <c r="EV143" s="115"/>
      <c r="EW143" s="115"/>
      <c r="EX143" s="115"/>
      <c r="EY143" s="115"/>
      <c r="EZ143" s="115"/>
      <c r="FA143" s="115"/>
      <c r="FB143" s="115"/>
      <c r="FC143" s="115"/>
      <c r="FD143" s="115"/>
      <c r="FE143" s="115"/>
      <c r="FF143" s="123">
        <f>FH143*FI143</f>
        <v>0</v>
      </c>
      <c r="FG143" s="116">
        <f>IF($FK143="да",FF143*1.18,FF143)</f>
        <v>0</v>
      </c>
      <c r="FH143" s="218"/>
      <c r="FI143" s="218"/>
      <c r="FJ143" s="116">
        <f>IF($FK143="да",FI143*1.18,FI143)</f>
        <v>0</v>
      </c>
      <c r="FK143" s="110">
        <f>$T132</f>
        <v>0</v>
      </c>
      <c r="FL143" s="118" t="str">
        <f>IF($G132="","ACTI","DELD")</f>
        <v>ACTI</v>
      </c>
      <c r="FM143" s="119" t="str">
        <f>$I132 &amp; "." &amp; $AA142 &amp; ".2"</f>
        <v>.8.2</v>
      </c>
      <c r="FN143" s="427"/>
      <c r="FO143" s="423"/>
      <c r="FP143" s="420"/>
      <c r="FQ143" s="420"/>
      <c r="FR143" s="420"/>
      <c r="FS143" s="204">
        <f t="shared" si="21"/>
        <v>0</v>
      </c>
      <c r="FT143" s="9"/>
      <c r="FU143" s="9"/>
      <c r="FV143" s="9"/>
      <c r="FW143" s="9"/>
      <c r="FX143" s="205"/>
      <c r="FY143" s="9"/>
      <c r="FZ143" s="206"/>
      <c r="GA143" s="46"/>
      <c r="GD143" s="192">
        <f>M132</f>
        <v>0</v>
      </c>
      <c r="GE143" s="192">
        <f>N132</f>
        <v>0</v>
      </c>
      <c r="GF143" s="193" t="str">
        <f>MID(Q132,1,50) &amp; LEN(Q132)</f>
        <v>0</v>
      </c>
      <c r="GG143" s="192" t="str">
        <f>IF(S132="производство комбинированная выработка","COGENERATION","HEATING")</f>
        <v>HEATING</v>
      </c>
      <c r="GH143" s="194" t="str">
        <f t="shared" si="22"/>
        <v>Заявленная мощность :: ACTI</v>
      </c>
      <c r="GI143" s="194" t="str">
        <f t="shared" si="23"/>
        <v>0::0::0::HEATING::Заявленная мощность :: ACTI</v>
      </c>
      <c r="GJ143" s="10"/>
      <c r="GK143" s="10"/>
      <c r="GL143" s="10"/>
      <c r="GM143" s="10"/>
    </row>
    <row r="144" spans="1:195" s="75" customFormat="1" ht="12" hidden="1" customHeight="1">
      <c r="F144" s="200"/>
      <c r="G144" s="406"/>
      <c r="H144" s="411"/>
      <c r="I144" s="412"/>
      <c r="J144" s="417"/>
      <c r="K144" s="417"/>
      <c r="L144" s="419"/>
      <c r="M144" s="418"/>
      <c r="N144" s="418"/>
      <c r="O144" s="418"/>
      <c r="P144" s="415"/>
      <c r="Q144" s="416"/>
      <c r="R144" s="426"/>
      <c r="S144" s="410"/>
      <c r="T144" s="432"/>
      <c r="U144" s="412"/>
      <c r="V144"/>
      <c r="W144"/>
      <c r="X144"/>
      <c r="Y144" s="425"/>
      <c r="Z144" s="112"/>
      <c r="AA144" s="111" t="s">
        <v>1708</v>
      </c>
      <c r="AB144" s="113" t="s">
        <v>1744</v>
      </c>
      <c r="AC144" s="121" t="str">
        <f t="shared" ref="AC144:AC149" si="73">AB144</f>
        <v>Дрова</v>
      </c>
      <c r="AD144" s="191" t="str">
        <f t="shared" si="0"/>
        <v>Дрова :: ACTI</v>
      </c>
      <c r="AE144" s="122"/>
      <c r="AF144" s="116">
        <f t="shared" ref="AF144:AF150" si="74">IF($FK144="да",AE144*1.18,AE144)</f>
        <v>0</v>
      </c>
      <c r="AG144" s="185">
        <f t="shared" ref="AG144:AG150" si="75">IF(AK144=0,0,AN144/AK144*1000)</f>
        <v>0</v>
      </c>
      <c r="AH144" s="185">
        <f t="shared" ref="AH144:AH150" si="76">IF(AK144=0,0,AO144/AK144*1000)</f>
        <v>0</v>
      </c>
      <c r="AI144" s="185">
        <f t="shared" ref="AI144:AI150" si="77">IF(AM144=0,0,AN144/AM144*1000)</f>
        <v>0</v>
      </c>
      <c r="AJ144" s="185">
        <f t="shared" ref="AJ144:AJ150" si="78">IF(AM144=0,0,AO144/AM144*1000)</f>
        <v>0</v>
      </c>
      <c r="AK144" s="122"/>
      <c r="AL144" s="122"/>
      <c r="AM144" s="123">
        <f t="shared" ref="AM144:AM150" si="79">AK144*AL144</f>
        <v>0</v>
      </c>
      <c r="AN144" s="123">
        <f t="shared" ref="AN144:AN150" si="80">AE144*AK144/1000+AV144+BA144+BF144</f>
        <v>0</v>
      </c>
      <c r="AO144" s="116">
        <f t="shared" ref="AO144:AO150" si="81">IF($FK144="да",AN144*1.18,AN144)</f>
        <v>0</v>
      </c>
      <c r="AP144" s="115"/>
      <c r="AQ144" s="115"/>
      <c r="AR144" s="115"/>
      <c r="AS144" s="122"/>
      <c r="AT144" s="116">
        <f t="shared" ref="AT144:AT150" si="82">IF($FK144="да",AS144*1.18,AS144)</f>
        <v>0</v>
      </c>
      <c r="AU144" s="122"/>
      <c r="AV144" s="123">
        <f t="shared" ref="AV144:AV150" si="83">AS144*AU144/1000</f>
        <v>0</v>
      </c>
      <c r="AW144" s="116">
        <f t="shared" ref="AW144:AW150" si="84">IF($FK144="да",AV144*1.18,AV144)</f>
        <v>0</v>
      </c>
      <c r="AX144" s="117"/>
      <c r="AY144" s="116">
        <f t="shared" ref="AY144:AY150" si="85">IF($FK144="да",AX144*1.18,AX144)</f>
        <v>0</v>
      </c>
      <c r="AZ144" s="117"/>
      <c r="BA144" s="116">
        <f t="shared" ref="BA144:BA150" si="86">AX144*AZ144/1000</f>
        <v>0</v>
      </c>
      <c r="BB144" s="116">
        <f t="shared" ref="BB144:BB150" si="87">IF($FK144="да",BA144*1.18,BA144)</f>
        <v>0</v>
      </c>
      <c r="BC144" s="117"/>
      <c r="BD144" s="116">
        <f t="shared" ref="BD144:BD150" si="88">IF($FK144="да",BC144*1.18,BC144)</f>
        <v>0</v>
      </c>
      <c r="BE144" s="117"/>
      <c r="BF144" s="116">
        <f t="shared" ref="BF144:BF150" si="89">BC144*BE144/1000</f>
        <v>0</v>
      </c>
      <c r="BG144" s="116">
        <f t="shared" ref="BG144:BG150" si="90">IF($FK144="да",BF144*1.18,BF144)</f>
        <v>0</v>
      </c>
      <c r="BH144" s="115"/>
      <c r="BI144" s="115"/>
      <c r="BJ144" s="115"/>
      <c r="BK144" s="115"/>
      <c r="BL144" s="115"/>
      <c r="BM144" s="365"/>
      <c r="BN144" s="116">
        <f t="shared" ref="BN144:BN150" si="91">IF($FK144="да",BM144*1.18,BM144)</f>
        <v>0</v>
      </c>
      <c r="BO144" s="185">
        <f t="shared" ref="BO144:BO150" si="92">IF(BS144=0,0,BV144/BS144*1000)</f>
        <v>0</v>
      </c>
      <c r="BP144" s="185">
        <f t="shared" ref="BP144:BP150" si="93">IF(BS144=0,0,BW144/BS144*1000)</f>
        <v>0</v>
      </c>
      <c r="BQ144" s="185">
        <f t="shared" ref="BQ144:BQ150" si="94">IF(BU144=0,0,BV144/BU144*1000)</f>
        <v>0</v>
      </c>
      <c r="BR144" s="185">
        <f t="shared" ref="BR144:BR150" si="95">IF(BU144=0,0,BW144/BU144*1000)</f>
        <v>0</v>
      </c>
      <c r="BS144" s="365"/>
      <c r="BT144" s="365"/>
      <c r="BU144" s="123">
        <f t="shared" ref="BU144:BU150" si="96">BS144*BT144</f>
        <v>0</v>
      </c>
      <c r="BV144" s="123">
        <f t="shared" ref="BV144:BV150" si="97">BM144*BS144/1000+CD144+CI144+CN144</f>
        <v>0</v>
      </c>
      <c r="BW144" s="116">
        <f t="shared" ref="BW144:BW150" si="98">IF($FK144="да",BV144*1.18,BV144)</f>
        <v>0</v>
      </c>
      <c r="BX144" s="115"/>
      <c r="BY144" s="115"/>
      <c r="BZ144" s="115"/>
      <c r="CA144" s="365"/>
      <c r="CB144" s="116">
        <f t="shared" ref="CB144:CB150" si="99">IF($FK144="да",CA144*1.18,CA144)</f>
        <v>0</v>
      </c>
      <c r="CC144" s="365"/>
      <c r="CD144" s="123">
        <f t="shared" ref="CD144:CD150" si="100">CA144*CC144/1000</f>
        <v>0</v>
      </c>
      <c r="CE144" s="116">
        <f t="shared" ref="CE144:CE150" si="101">IF($FK144="да",CD144*1.18,CD144)</f>
        <v>0</v>
      </c>
      <c r="CF144" s="218"/>
      <c r="CG144" s="116">
        <f t="shared" ref="CG144:CG150" si="102">IF($FK144="да",CF144*1.18,CF144)</f>
        <v>0</v>
      </c>
      <c r="CH144" s="218"/>
      <c r="CI144" s="116">
        <f t="shared" ref="CI144:CI150" si="103">CF144*CH144/1000</f>
        <v>0</v>
      </c>
      <c r="CJ144" s="116">
        <f t="shared" ref="CJ144:CJ150" si="104">IF($FK144="да",CI144*1.18,CI144)</f>
        <v>0</v>
      </c>
      <c r="CK144" s="218"/>
      <c r="CL144" s="116">
        <f t="shared" ref="CL144:CL150" si="105">IF($FK144="да",CK144*1.18,CK144)</f>
        <v>0</v>
      </c>
      <c r="CM144" s="218"/>
      <c r="CN144" s="116">
        <f t="shared" ref="CN144:CN150" si="106">CK144*CM144/1000</f>
        <v>0</v>
      </c>
      <c r="CO144" s="116">
        <f t="shared" ref="CO144:CO150" si="107">IF($FK144="да",CN144*1.18,CN144)</f>
        <v>0</v>
      </c>
      <c r="CP144" s="115"/>
      <c r="CQ144" s="115"/>
      <c r="CR144" s="115"/>
      <c r="CS144" s="115"/>
      <c r="CT144" s="115"/>
      <c r="CU144" s="365"/>
      <c r="CV144" s="116">
        <f t="shared" ref="CV144:CV150" si="108">IF($FK144="да",CU144*1.18,CU144)</f>
        <v>0</v>
      </c>
      <c r="CW144" s="185">
        <f t="shared" ref="CW144:CW150" si="109">IF(DA144=0,0,DD144/DA144*1000)</f>
        <v>0</v>
      </c>
      <c r="CX144" s="185">
        <f t="shared" ref="CX144:CX150" si="110">IF(DA144=0,0,DE144/DA144*1000)</f>
        <v>0</v>
      </c>
      <c r="CY144" s="185">
        <f t="shared" ref="CY144:CY150" si="111">IF(DC144=0,0,DD144/DC144*1000)</f>
        <v>0</v>
      </c>
      <c r="CZ144" s="185">
        <f t="shared" ref="CZ144:CZ150" si="112">IF(DC144=0,0,DE144/DC144*1000)</f>
        <v>0</v>
      </c>
      <c r="DA144" s="365"/>
      <c r="DB144" s="365"/>
      <c r="DC144" s="123">
        <f t="shared" ref="DC144:DC150" si="113">DA144*DB144</f>
        <v>0</v>
      </c>
      <c r="DD144" s="123">
        <f t="shared" ref="DD144:DD150" si="114">CU144*DA144/1000+DL144+DQ144+DV144</f>
        <v>0</v>
      </c>
      <c r="DE144" s="116">
        <f t="shared" ref="DE144:DE150" si="115">IF($FK144="да",DD144*1.18,DD144)</f>
        <v>0</v>
      </c>
      <c r="DF144" s="115"/>
      <c r="DG144" s="115"/>
      <c r="DH144" s="115"/>
      <c r="DI144" s="365"/>
      <c r="DJ144" s="116">
        <f t="shared" ref="DJ144:DJ150" si="116">IF($FK144="да",DI144*1.18,DI144)</f>
        <v>0</v>
      </c>
      <c r="DK144" s="365"/>
      <c r="DL144" s="123">
        <f t="shared" ref="DL144:DL150" si="117">DI144*DK144/1000</f>
        <v>0</v>
      </c>
      <c r="DM144" s="116">
        <f t="shared" ref="DM144:DM150" si="118">IF($FK144="да",DL144*1.18,DL144)</f>
        <v>0</v>
      </c>
      <c r="DN144" s="218"/>
      <c r="DO144" s="116">
        <f t="shared" ref="DO144:DO150" si="119">IF($FK144="да",DN144*1.18,DN144)</f>
        <v>0</v>
      </c>
      <c r="DP144" s="218"/>
      <c r="DQ144" s="116">
        <f t="shared" ref="DQ144:DQ150" si="120">DN144*DP144/1000</f>
        <v>0</v>
      </c>
      <c r="DR144" s="116">
        <f t="shared" ref="DR144:DR150" si="121">IF($FK144="да",DQ144*1.18,DQ144)</f>
        <v>0</v>
      </c>
      <c r="DS144" s="218"/>
      <c r="DT144" s="116">
        <f t="shared" ref="DT144:DT150" si="122">IF($FK144="да",DS144*1.18,DS144)</f>
        <v>0</v>
      </c>
      <c r="DU144" s="218"/>
      <c r="DV144" s="116">
        <f t="shared" ref="DV144:DV150" si="123">DS144*DU144/1000</f>
        <v>0</v>
      </c>
      <c r="DW144" s="116">
        <f t="shared" ref="DW144:DW150" si="124">IF($FK144="да",DV144*1.18,DV144)</f>
        <v>0</v>
      </c>
      <c r="DX144" s="115"/>
      <c r="DY144" s="115"/>
      <c r="DZ144" s="115"/>
      <c r="EA144" s="115"/>
      <c r="EB144" s="115"/>
      <c r="EC144" s="365"/>
      <c r="ED144" s="116">
        <f t="shared" ref="ED144:ED150" si="125">IF($FK144="да",EC144*1.18,EC144)</f>
        <v>0</v>
      </c>
      <c r="EE144" s="185">
        <f t="shared" ref="EE144:EE150" si="126">IF(EI144=0,0,EL144/EI144*1000)</f>
        <v>0</v>
      </c>
      <c r="EF144" s="185">
        <f t="shared" ref="EF144:EF150" si="127">IF(EI144=0,0,EM144/EI144*1000)</f>
        <v>0</v>
      </c>
      <c r="EG144" s="185">
        <f t="shared" ref="EG144:EG150" si="128">IF(EK144=0,0,EL144/EK144*1000)</f>
        <v>0</v>
      </c>
      <c r="EH144" s="185">
        <f t="shared" ref="EH144:EH150" si="129">IF(EK144=0,0,EM144/EK144*1000)</f>
        <v>0</v>
      </c>
      <c r="EI144" s="365"/>
      <c r="EJ144" s="365"/>
      <c r="EK144" s="123">
        <f t="shared" ref="EK144:EK150" si="130">EI144*EJ144</f>
        <v>0</v>
      </c>
      <c r="EL144" s="123">
        <f t="shared" ref="EL144:EL150" si="131">EC144*EI144/1000+ET144+EY144+FD144</f>
        <v>0</v>
      </c>
      <c r="EM144" s="116">
        <f t="shared" ref="EM144:EM150" si="132">IF($FK144="да",EL144*1.18,EL144)</f>
        <v>0</v>
      </c>
      <c r="EN144" s="115"/>
      <c r="EO144" s="115"/>
      <c r="EP144" s="115"/>
      <c r="EQ144" s="365"/>
      <c r="ER144" s="116">
        <f t="shared" ref="ER144:ER150" si="133">IF($FK144="да",EQ144*1.18,EQ144)</f>
        <v>0</v>
      </c>
      <c r="ES144" s="365"/>
      <c r="ET144" s="123">
        <f t="shared" ref="ET144:ET150" si="134">EQ144*ES144/1000</f>
        <v>0</v>
      </c>
      <c r="EU144" s="116">
        <f t="shared" ref="EU144:EU150" si="135">IF($FK144="да",ET144*1.18,ET144)</f>
        <v>0</v>
      </c>
      <c r="EV144" s="218"/>
      <c r="EW144" s="116">
        <f t="shared" ref="EW144:EW150" si="136">IF($FK144="да",EV144*1.18,EV144)</f>
        <v>0</v>
      </c>
      <c r="EX144" s="218"/>
      <c r="EY144" s="116">
        <f t="shared" ref="EY144:EY150" si="137">EV144*EX144/1000</f>
        <v>0</v>
      </c>
      <c r="EZ144" s="116">
        <f t="shared" ref="EZ144:EZ150" si="138">IF($FK144="да",EY144*1.18,EY144)</f>
        <v>0</v>
      </c>
      <c r="FA144" s="218"/>
      <c r="FB144" s="116">
        <f t="shared" ref="FB144:FB150" si="139">IF($FK144="да",FA144*1.18,FA144)</f>
        <v>0</v>
      </c>
      <c r="FC144" s="218"/>
      <c r="FD144" s="116">
        <f t="shared" ref="FD144:FD150" si="140">FA144*FC144/1000</f>
        <v>0</v>
      </c>
      <c r="FE144" s="116">
        <f t="shared" ref="FE144:FE150" si="141">IF($FK144="да",FD144*1.18,FD144)</f>
        <v>0</v>
      </c>
      <c r="FF144" s="115"/>
      <c r="FG144" s="115"/>
      <c r="FH144" s="115"/>
      <c r="FI144" s="115"/>
      <c r="FJ144" s="115"/>
      <c r="FK144" s="110">
        <f>$T132</f>
        <v>0</v>
      </c>
      <c r="FL144" s="118" t="str">
        <f>IF($G132="","ACTI","DELD")</f>
        <v>ACTI</v>
      </c>
      <c r="FM144" s="119" t="str">
        <f>$I132 &amp; "." &amp; $AA144 &amp; ".1"</f>
        <v>.9.1</v>
      </c>
      <c r="FN144" s="427"/>
      <c r="FO144" s="201"/>
      <c r="FP144" s="360"/>
      <c r="FQ144" s="360"/>
      <c r="FR144" s="360"/>
      <c r="FS144" s="204">
        <f t="shared" si="21"/>
        <v>0</v>
      </c>
      <c r="FT144" s="9"/>
      <c r="FU144" s="9"/>
      <c r="FV144" s="9"/>
      <c r="FW144" s="9"/>
      <c r="FX144" s="205"/>
      <c r="FY144" s="9"/>
      <c r="FZ144" s="206"/>
      <c r="GA144" s="46"/>
      <c r="GD144" s="192">
        <f>M132</f>
        <v>0</v>
      </c>
      <c r="GE144" s="192">
        <f>N132</f>
        <v>0</v>
      </c>
      <c r="GF144" s="193" t="str">
        <f>MID(Q132,1,50) &amp; LEN(Q132)</f>
        <v>0</v>
      </c>
      <c r="GG144" s="192" t="str">
        <f>IF(S132="производство комбинированная выработка","COGENERATION","HEATING")</f>
        <v>HEATING</v>
      </c>
      <c r="GH144" s="194" t="str">
        <f t="shared" si="22"/>
        <v>Дрова :: ACTI</v>
      </c>
      <c r="GI144" s="194" t="str">
        <f t="shared" si="23"/>
        <v>0::0::0::HEATING::Дрова :: ACTI</v>
      </c>
      <c r="GJ144" s="10"/>
      <c r="GK144" s="10"/>
      <c r="GL144" s="10"/>
      <c r="GM144" s="10"/>
    </row>
    <row r="145" spans="1:195" s="75" customFormat="1" ht="12" hidden="1" customHeight="1">
      <c r="F145" s="200"/>
      <c r="G145" s="406"/>
      <c r="H145" s="411"/>
      <c r="I145" s="412"/>
      <c r="J145" s="417"/>
      <c r="K145" s="417"/>
      <c r="L145" s="419"/>
      <c r="M145" s="418"/>
      <c r="N145" s="418"/>
      <c r="O145" s="418"/>
      <c r="P145" s="415"/>
      <c r="Q145" s="416"/>
      <c r="R145" s="426"/>
      <c r="S145" s="410"/>
      <c r="T145" s="432"/>
      <c r="U145" s="412"/>
      <c r="V145"/>
      <c r="W145"/>
      <c r="X145"/>
      <c r="Y145" s="425"/>
      <c r="Z145" s="112"/>
      <c r="AA145" s="110" t="s">
        <v>1709</v>
      </c>
      <c r="AB145" s="113" t="s">
        <v>26</v>
      </c>
      <c r="AC145" s="121" t="str">
        <f t="shared" si="73"/>
        <v>Пеллеты</v>
      </c>
      <c r="AD145" s="191" t="str">
        <f t="shared" si="0"/>
        <v>Пеллеты :: ACTI</v>
      </c>
      <c r="AE145" s="122"/>
      <c r="AF145" s="116">
        <f t="shared" si="74"/>
        <v>0</v>
      </c>
      <c r="AG145" s="185">
        <f t="shared" si="75"/>
        <v>0</v>
      </c>
      <c r="AH145" s="185">
        <f t="shared" si="76"/>
        <v>0</v>
      </c>
      <c r="AI145" s="185">
        <f t="shared" si="77"/>
        <v>0</v>
      </c>
      <c r="AJ145" s="185">
        <f t="shared" si="78"/>
        <v>0</v>
      </c>
      <c r="AK145" s="122"/>
      <c r="AL145" s="122"/>
      <c r="AM145" s="123">
        <f t="shared" si="79"/>
        <v>0</v>
      </c>
      <c r="AN145" s="123">
        <f t="shared" si="80"/>
        <v>0</v>
      </c>
      <c r="AO145" s="116">
        <f t="shared" si="81"/>
        <v>0</v>
      </c>
      <c r="AP145" s="115"/>
      <c r="AQ145" s="115"/>
      <c r="AR145" s="115"/>
      <c r="AS145" s="122"/>
      <c r="AT145" s="116">
        <f t="shared" si="82"/>
        <v>0</v>
      </c>
      <c r="AU145" s="122"/>
      <c r="AV145" s="123">
        <f t="shared" si="83"/>
        <v>0</v>
      </c>
      <c r="AW145" s="116">
        <f t="shared" si="84"/>
        <v>0</v>
      </c>
      <c r="AX145" s="117"/>
      <c r="AY145" s="116">
        <f t="shared" si="85"/>
        <v>0</v>
      </c>
      <c r="AZ145" s="117"/>
      <c r="BA145" s="116">
        <f t="shared" si="86"/>
        <v>0</v>
      </c>
      <c r="BB145" s="116">
        <f t="shared" si="87"/>
        <v>0</v>
      </c>
      <c r="BC145" s="117"/>
      <c r="BD145" s="116">
        <f t="shared" si="88"/>
        <v>0</v>
      </c>
      <c r="BE145" s="117"/>
      <c r="BF145" s="116">
        <f t="shared" si="89"/>
        <v>0</v>
      </c>
      <c r="BG145" s="116">
        <f t="shared" si="90"/>
        <v>0</v>
      </c>
      <c r="BH145" s="115"/>
      <c r="BI145" s="115"/>
      <c r="BJ145" s="115"/>
      <c r="BK145" s="115"/>
      <c r="BL145" s="115"/>
      <c r="BM145" s="365"/>
      <c r="BN145" s="116">
        <f t="shared" si="91"/>
        <v>0</v>
      </c>
      <c r="BO145" s="185">
        <f t="shared" si="92"/>
        <v>0</v>
      </c>
      <c r="BP145" s="185">
        <f t="shared" si="93"/>
        <v>0</v>
      </c>
      <c r="BQ145" s="185">
        <f t="shared" si="94"/>
        <v>0</v>
      </c>
      <c r="BR145" s="185">
        <f t="shared" si="95"/>
        <v>0</v>
      </c>
      <c r="BS145" s="365"/>
      <c r="BT145" s="365"/>
      <c r="BU145" s="123">
        <f t="shared" si="96"/>
        <v>0</v>
      </c>
      <c r="BV145" s="123">
        <f t="shared" si="97"/>
        <v>0</v>
      </c>
      <c r="BW145" s="116">
        <f t="shared" si="98"/>
        <v>0</v>
      </c>
      <c r="BX145" s="115"/>
      <c r="BY145" s="115"/>
      <c r="BZ145" s="115"/>
      <c r="CA145" s="365"/>
      <c r="CB145" s="116">
        <f t="shared" si="99"/>
        <v>0</v>
      </c>
      <c r="CC145" s="365"/>
      <c r="CD145" s="123">
        <f t="shared" si="100"/>
        <v>0</v>
      </c>
      <c r="CE145" s="116">
        <f t="shared" si="101"/>
        <v>0</v>
      </c>
      <c r="CF145" s="218"/>
      <c r="CG145" s="116">
        <f t="shared" si="102"/>
        <v>0</v>
      </c>
      <c r="CH145" s="218"/>
      <c r="CI145" s="116">
        <f t="shared" si="103"/>
        <v>0</v>
      </c>
      <c r="CJ145" s="116">
        <f t="shared" si="104"/>
        <v>0</v>
      </c>
      <c r="CK145" s="218"/>
      <c r="CL145" s="116">
        <f t="shared" si="105"/>
        <v>0</v>
      </c>
      <c r="CM145" s="218"/>
      <c r="CN145" s="116">
        <f t="shared" si="106"/>
        <v>0</v>
      </c>
      <c r="CO145" s="116">
        <f t="shared" si="107"/>
        <v>0</v>
      </c>
      <c r="CP145" s="115"/>
      <c r="CQ145" s="115"/>
      <c r="CR145" s="115"/>
      <c r="CS145" s="115"/>
      <c r="CT145" s="115"/>
      <c r="CU145" s="365"/>
      <c r="CV145" s="116">
        <f t="shared" si="108"/>
        <v>0</v>
      </c>
      <c r="CW145" s="185">
        <f t="shared" si="109"/>
        <v>0</v>
      </c>
      <c r="CX145" s="185">
        <f t="shared" si="110"/>
        <v>0</v>
      </c>
      <c r="CY145" s="185">
        <f t="shared" si="111"/>
        <v>0</v>
      </c>
      <c r="CZ145" s="185">
        <f t="shared" si="112"/>
        <v>0</v>
      </c>
      <c r="DA145" s="365"/>
      <c r="DB145" s="365"/>
      <c r="DC145" s="123">
        <f t="shared" si="113"/>
        <v>0</v>
      </c>
      <c r="DD145" s="123">
        <f t="shared" si="114"/>
        <v>0</v>
      </c>
      <c r="DE145" s="116">
        <f t="shared" si="115"/>
        <v>0</v>
      </c>
      <c r="DF145" s="115"/>
      <c r="DG145" s="115"/>
      <c r="DH145" s="115"/>
      <c r="DI145" s="365"/>
      <c r="DJ145" s="116">
        <f t="shared" si="116"/>
        <v>0</v>
      </c>
      <c r="DK145" s="365"/>
      <c r="DL145" s="123">
        <f t="shared" si="117"/>
        <v>0</v>
      </c>
      <c r="DM145" s="116">
        <f t="shared" si="118"/>
        <v>0</v>
      </c>
      <c r="DN145" s="218"/>
      <c r="DO145" s="116">
        <f t="shared" si="119"/>
        <v>0</v>
      </c>
      <c r="DP145" s="218"/>
      <c r="DQ145" s="116">
        <f t="shared" si="120"/>
        <v>0</v>
      </c>
      <c r="DR145" s="116">
        <f t="shared" si="121"/>
        <v>0</v>
      </c>
      <c r="DS145" s="218"/>
      <c r="DT145" s="116">
        <f t="shared" si="122"/>
        <v>0</v>
      </c>
      <c r="DU145" s="218"/>
      <c r="DV145" s="116">
        <f t="shared" si="123"/>
        <v>0</v>
      </c>
      <c r="DW145" s="116">
        <f t="shared" si="124"/>
        <v>0</v>
      </c>
      <c r="DX145" s="115"/>
      <c r="DY145" s="115"/>
      <c r="DZ145" s="115"/>
      <c r="EA145" s="115"/>
      <c r="EB145" s="115"/>
      <c r="EC145" s="365"/>
      <c r="ED145" s="116">
        <f t="shared" si="125"/>
        <v>0</v>
      </c>
      <c r="EE145" s="185">
        <f t="shared" si="126"/>
        <v>0</v>
      </c>
      <c r="EF145" s="185">
        <f t="shared" si="127"/>
        <v>0</v>
      </c>
      <c r="EG145" s="185">
        <f t="shared" si="128"/>
        <v>0</v>
      </c>
      <c r="EH145" s="185">
        <f t="shared" si="129"/>
        <v>0</v>
      </c>
      <c r="EI145" s="365"/>
      <c r="EJ145" s="365"/>
      <c r="EK145" s="123">
        <f t="shared" si="130"/>
        <v>0</v>
      </c>
      <c r="EL145" s="123">
        <f t="shared" si="131"/>
        <v>0</v>
      </c>
      <c r="EM145" s="116">
        <f t="shared" si="132"/>
        <v>0</v>
      </c>
      <c r="EN145" s="115"/>
      <c r="EO145" s="115"/>
      <c r="EP145" s="115"/>
      <c r="EQ145" s="365"/>
      <c r="ER145" s="116">
        <f t="shared" si="133"/>
        <v>0</v>
      </c>
      <c r="ES145" s="365"/>
      <c r="ET145" s="123">
        <f t="shared" si="134"/>
        <v>0</v>
      </c>
      <c r="EU145" s="116">
        <f t="shared" si="135"/>
        <v>0</v>
      </c>
      <c r="EV145" s="218"/>
      <c r="EW145" s="116">
        <f t="shared" si="136"/>
        <v>0</v>
      </c>
      <c r="EX145" s="218"/>
      <c r="EY145" s="116">
        <f t="shared" si="137"/>
        <v>0</v>
      </c>
      <c r="EZ145" s="116">
        <f t="shared" si="138"/>
        <v>0</v>
      </c>
      <c r="FA145" s="218"/>
      <c r="FB145" s="116">
        <f t="shared" si="139"/>
        <v>0</v>
      </c>
      <c r="FC145" s="218"/>
      <c r="FD145" s="116">
        <f t="shared" si="140"/>
        <v>0</v>
      </c>
      <c r="FE145" s="116">
        <f t="shared" si="141"/>
        <v>0</v>
      </c>
      <c r="FF145" s="115"/>
      <c r="FG145" s="115"/>
      <c r="FH145" s="115"/>
      <c r="FI145" s="115"/>
      <c r="FJ145" s="115"/>
      <c r="FK145" s="110">
        <f>$T132</f>
        <v>0</v>
      </c>
      <c r="FL145" s="118" t="str">
        <f>IF($G132="","ACTI","DELD")</f>
        <v>ACTI</v>
      </c>
      <c r="FM145" s="119" t="str">
        <f>$I132 &amp; "." &amp; $AA145 &amp; ".1"</f>
        <v>.10.1</v>
      </c>
      <c r="FN145" s="427"/>
      <c r="FO145" s="201"/>
      <c r="FP145" s="360"/>
      <c r="FQ145" s="360"/>
      <c r="FR145" s="360"/>
      <c r="FS145" s="204">
        <f t="shared" si="21"/>
        <v>0</v>
      </c>
      <c r="FT145" s="9"/>
      <c r="FU145" s="9"/>
      <c r="FV145" s="9"/>
      <c r="FW145" s="9"/>
      <c r="FX145" s="205"/>
      <c r="FY145" s="9"/>
      <c r="FZ145" s="206"/>
      <c r="GA145" s="46"/>
      <c r="GD145" s="192">
        <f>M132</f>
        <v>0</v>
      </c>
      <c r="GE145" s="192">
        <f>N132</f>
        <v>0</v>
      </c>
      <c r="GF145" s="193" t="str">
        <f>MID(Q132,1,50) &amp; LEN(Q132)</f>
        <v>0</v>
      </c>
      <c r="GG145" s="192" t="str">
        <f>IF(S132="производство комбинированная выработка","COGENERATION","HEATING")</f>
        <v>HEATING</v>
      </c>
      <c r="GH145" s="194" t="str">
        <f t="shared" si="22"/>
        <v>Пеллеты :: ACTI</v>
      </c>
      <c r="GI145" s="194" t="str">
        <f t="shared" si="23"/>
        <v>0::0::0::HEATING::Пеллеты :: ACTI</v>
      </c>
      <c r="GJ145" s="10"/>
      <c r="GK145" s="10"/>
      <c r="GL145" s="10"/>
      <c r="GM145" s="10"/>
    </row>
    <row r="146" spans="1:195" s="75" customFormat="1" ht="12" hidden="1" customHeight="1">
      <c r="F146" s="200"/>
      <c r="G146" s="406"/>
      <c r="H146" s="411"/>
      <c r="I146" s="412"/>
      <c r="J146" s="417"/>
      <c r="K146" s="417"/>
      <c r="L146" s="419"/>
      <c r="M146" s="418"/>
      <c r="N146" s="418"/>
      <c r="O146" s="418"/>
      <c r="P146" s="415"/>
      <c r="Q146" s="416"/>
      <c r="R146" s="426"/>
      <c r="S146" s="410"/>
      <c r="T146" s="432"/>
      <c r="U146" s="412"/>
      <c r="V146"/>
      <c r="W146"/>
      <c r="X146"/>
      <c r="Y146" s="425"/>
      <c r="Z146" s="112"/>
      <c r="AA146" s="111" t="s">
        <v>1725</v>
      </c>
      <c r="AB146" s="113" t="s">
        <v>1745</v>
      </c>
      <c r="AC146" s="121" t="str">
        <f t="shared" si="73"/>
        <v>Опилки</v>
      </c>
      <c r="AD146" s="191" t="str">
        <f t="shared" si="0"/>
        <v>Опилки :: ACTI</v>
      </c>
      <c r="AE146" s="122"/>
      <c r="AF146" s="116">
        <f t="shared" si="74"/>
        <v>0</v>
      </c>
      <c r="AG146" s="185">
        <f t="shared" si="75"/>
        <v>0</v>
      </c>
      <c r="AH146" s="185">
        <f t="shared" si="76"/>
        <v>0</v>
      </c>
      <c r="AI146" s="185">
        <f t="shared" si="77"/>
        <v>0</v>
      </c>
      <c r="AJ146" s="185">
        <f t="shared" si="78"/>
        <v>0</v>
      </c>
      <c r="AK146" s="122"/>
      <c r="AL146" s="122"/>
      <c r="AM146" s="123">
        <f t="shared" si="79"/>
        <v>0</v>
      </c>
      <c r="AN146" s="123">
        <f t="shared" si="80"/>
        <v>0</v>
      </c>
      <c r="AO146" s="116">
        <f t="shared" si="81"/>
        <v>0</v>
      </c>
      <c r="AP146" s="115"/>
      <c r="AQ146" s="115"/>
      <c r="AR146" s="115"/>
      <c r="AS146" s="122"/>
      <c r="AT146" s="116">
        <f t="shared" si="82"/>
        <v>0</v>
      </c>
      <c r="AU146" s="122"/>
      <c r="AV146" s="123">
        <f t="shared" si="83"/>
        <v>0</v>
      </c>
      <c r="AW146" s="116">
        <f t="shared" si="84"/>
        <v>0</v>
      </c>
      <c r="AX146" s="117"/>
      <c r="AY146" s="116">
        <f t="shared" si="85"/>
        <v>0</v>
      </c>
      <c r="AZ146" s="117"/>
      <c r="BA146" s="116">
        <f t="shared" si="86"/>
        <v>0</v>
      </c>
      <c r="BB146" s="116">
        <f t="shared" si="87"/>
        <v>0</v>
      </c>
      <c r="BC146" s="117"/>
      <c r="BD146" s="116">
        <f t="shared" si="88"/>
        <v>0</v>
      </c>
      <c r="BE146" s="117"/>
      <c r="BF146" s="116">
        <f t="shared" si="89"/>
        <v>0</v>
      </c>
      <c r="BG146" s="116">
        <f t="shared" si="90"/>
        <v>0</v>
      </c>
      <c r="BH146" s="115"/>
      <c r="BI146" s="115"/>
      <c r="BJ146" s="115"/>
      <c r="BK146" s="115"/>
      <c r="BL146" s="115"/>
      <c r="BM146" s="365"/>
      <c r="BN146" s="116">
        <f t="shared" si="91"/>
        <v>0</v>
      </c>
      <c r="BO146" s="185">
        <f t="shared" si="92"/>
        <v>0</v>
      </c>
      <c r="BP146" s="185">
        <f t="shared" si="93"/>
        <v>0</v>
      </c>
      <c r="BQ146" s="185">
        <f t="shared" si="94"/>
        <v>0</v>
      </c>
      <c r="BR146" s="185">
        <f t="shared" si="95"/>
        <v>0</v>
      </c>
      <c r="BS146" s="365"/>
      <c r="BT146" s="365"/>
      <c r="BU146" s="123">
        <f t="shared" si="96"/>
        <v>0</v>
      </c>
      <c r="BV146" s="123">
        <f t="shared" si="97"/>
        <v>0</v>
      </c>
      <c r="BW146" s="116">
        <f t="shared" si="98"/>
        <v>0</v>
      </c>
      <c r="BX146" s="115"/>
      <c r="BY146" s="115"/>
      <c r="BZ146" s="115"/>
      <c r="CA146" s="365"/>
      <c r="CB146" s="116">
        <f t="shared" si="99"/>
        <v>0</v>
      </c>
      <c r="CC146" s="365"/>
      <c r="CD146" s="123">
        <f t="shared" si="100"/>
        <v>0</v>
      </c>
      <c r="CE146" s="116">
        <f t="shared" si="101"/>
        <v>0</v>
      </c>
      <c r="CF146" s="218"/>
      <c r="CG146" s="116">
        <f t="shared" si="102"/>
        <v>0</v>
      </c>
      <c r="CH146" s="218"/>
      <c r="CI146" s="116">
        <f t="shared" si="103"/>
        <v>0</v>
      </c>
      <c r="CJ146" s="116">
        <f t="shared" si="104"/>
        <v>0</v>
      </c>
      <c r="CK146" s="218"/>
      <c r="CL146" s="116">
        <f t="shared" si="105"/>
        <v>0</v>
      </c>
      <c r="CM146" s="218"/>
      <c r="CN146" s="116">
        <f t="shared" si="106"/>
        <v>0</v>
      </c>
      <c r="CO146" s="116">
        <f t="shared" si="107"/>
        <v>0</v>
      </c>
      <c r="CP146" s="115"/>
      <c r="CQ146" s="115"/>
      <c r="CR146" s="115"/>
      <c r="CS146" s="115"/>
      <c r="CT146" s="115"/>
      <c r="CU146" s="365"/>
      <c r="CV146" s="116">
        <f t="shared" si="108"/>
        <v>0</v>
      </c>
      <c r="CW146" s="185">
        <f t="shared" si="109"/>
        <v>0</v>
      </c>
      <c r="CX146" s="185">
        <f t="shared" si="110"/>
        <v>0</v>
      </c>
      <c r="CY146" s="185">
        <f t="shared" si="111"/>
        <v>0</v>
      </c>
      <c r="CZ146" s="185">
        <f t="shared" si="112"/>
        <v>0</v>
      </c>
      <c r="DA146" s="365"/>
      <c r="DB146" s="365"/>
      <c r="DC146" s="123">
        <f t="shared" si="113"/>
        <v>0</v>
      </c>
      <c r="DD146" s="123">
        <f t="shared" si="114"/>
        <v>0</v>
      </c>
      <c r="DE146" s="116">
        <f t="shared" si="115"/>
        <v>0</v>
      </c>
      <c r="DF146" s="115"/>
      <c r="DG146" s="115"/>
      <c r="DH146" s="115"/>
      <c r="DI146" s="365"/>
      <c r="DJ146" s="116">
        <f t="shared" si="116"/>
        <v>0</v>
      </c>
      <c r="DK146" s="365"/>
      <c r="DL146" s="123">
        <f t="shared" si="117"/>
        <v>0</v>
      </c>
      <c r="DM146" s="116">
        <f t="shared" si="118"/>
        <v>0</v>
      </c>
      <c r="DN146" s="218"/>
      <c r="DO146" s="116">
        <f t="shared" si="119"/>
        <v>0</v>
      </c>
      <c r="DP146" s="218"/>
      <c r="DQ146" s="116">
        <f t="shared" si="120"/>
        <v>0</v>
      </c>
      <c r="DR146" s="116">
        <f t="shared" si="121"/>
        <v>0</v>
      </c>
      <c r="DS146" s="218"/>
      <c r="DT146" s="116">
        <f t="shared" si="122"/>
        <v>0</v>
      </c>
      <c r="DU146" s="218"/>
      <c r="DV146" s="116">
        <f t="shared" si="123"/>
        <v>0</v>
      </c>
      <c r="DW146" s="116">
        <f t="shared" si="124"/>
        <v>0</v>
      </c>
      <c r="DX146" s="115"/>
      <c r="DY146" s="115"/>
      <c r="DZ146" s="115"/>
      <c r="EA146" s="115"/>
      <c r="EB146" s="115"/>
      <c r="EC146" s="365"/>
      <c r="ED146" s="116">
        <f t="shared" si="125"/>
        <v>0</v>
      </c>
      <c r="EE146" s="185">
        <f t="shared" si="126"/>
        <v>0</v>
      </c>
      <c r="EF146" s="185">
        <f t="shared" si="127"/>
        <v>0</v>
      </c>
      <c r="EG146" s="185">
        <f t="shared" si="128"/>
        <v>0</v>
      </c>
      <c r="EH146" s="185">
        <f t="shared" si="129"/>
        <v>0</v>
      </c>
      <c r="EI146" s="365"/>
      <c r="EJ146" s="365"/>
      <c r="EK146" s="123">
        <f t="shared" si="130"/>
        <v>0</v>
      </c>
      <c r="EL146" s="123">
        <f t="shared" si="131"/>
        <v>0</v>
      </c>
      <c r="EM146" s="116">
        <f t="shared" si="132"/>
        <v>0</v>
      </c>
      <c r="EN146" s="115"/>
      <c r="EO146" s="115"/>
      <c r="EP146" s="115"/>
      <c r="EQ146" s="365"/>
      <c r="ER146" s="116">
        <f t="shared" si="133"/>
        <v>0</v>
      </c>
      <c r="ES146" s="365"/>
      <c r="ET146" s="123">
        <f t="shared" si="134"/>
        <v>0</v>
      </c>
      <c r="EU146" s="116">
        <f t="shared" si="135"/>
        <v>0</v>
      </c>
      <c r="EV146" s="218"/>
      <c r="EW146" s="116">
        <f t="shared" si="136"/>
        <v>0</v>
      </c>
      <c r="EX146" s="218"/>
      <c r="EY146" s="116">
        <f t="shared" si="137"/>
        <v>0</v>
      </c>
      <c r="EZ146" s="116">
        <f t="shared" si="138"/>
        <v>0</v>
      </c>
      <c r="FA146" s="218"/>
      <c r="FB146" s="116">
        <f t="shared" si="139"/>
        <v>0</v>
      </c>
      <c r="FC146" s="218"/>
      <c r="FD146" s="116">
        <f t="shared" si="140"/>
        <v>0</v>
      </c>
      <c r="FE146" s="116">
        <f t="shared" si="141"/>
        <v>0</v>
      </c>
      <c r="FF146" s="115"/>
      <c r="FG146" s="115"/>
      <c r="FH146" s="115"/>
      <c r="FI146" s="115"/>
      <c r="FJ146" s="115"/>
      <c r="FK146" s="110">
        <f>$T132</f>
        <v>0</v>
      </c>
      <c r="FL146" s="118" t="str">
        <f>IF($G132="","ACTI","DELD")</f>
        <v>ACTI</v>
      </c>
      <c r="FM146" s="119" t="str">
        <f>$I132 &amp; "." &amp; $AA146 &amp; ".1"</f>
        <v>.11.1</v>
      </c>
      <c r="FN146" s="427"/>
      <c r="FO146" s="201"/>
      <c r="FP146" s="360"/>
      <c r="FQ146" s="360"/>
      <c r="FR146" s="360"/>
      <c r="FS146" s="204">
        <f t="shared" si="21"/>
        <v>0</v>
      </c>
      <c r="FT146" s="9"/>
      <c r="FU146" s="9"/>
      <c r="FV146" s="9"/>
      <c r="FW146" s="9"/>
      <c r="FX146" s="205"/>
      <c r="FY146" s="9"/>
      <c r="FZ146" s="206"/>
      <c r="GA146" s="46"/>
      <c r="GD146" s="192">
        <f>M132</f>
        <v>0</v>
      </c>
      <c r="GE146" s="192">
        <f>N132</f>
        <v>0</v>
      </c>
      <c r="GF146" s="193" t="str">
        <f>MID(Q132,1,50) &amp; LEN(Q132)</f>
        <v>0</v>
      </c>
      <c r="GG146" s="192" t="str">
        <f>IF(S132="производство комбинированная выработка","COGENERATION","HEATING")</f>
        <v>HEATING</v>
      </c>
      <c r="GH146" s="194" t="str">
        <f t="shared" si="22"/>
        <v>Опилки :: ACTI</v>
      </c>
      <c r="GI146" s="194" t="str">
        <f t="shared" si="23"/>
        <v>0::0::0::HEATING::Опилки :: ACTI</v>
      </c>
      <c r="GJ146" s="10"/>
      <c r="GK146" s="10"/>
      <c r="GL146" s="10"/>
      <c r="GM146" s="10"/>
    </row>
    <row r="147" spans="1:195" s="75" customFormat="1" ht="12" hidden="1" customHeight="1">
      <c r="F147" s="200"/>
      <c r="G147" s="406"/>
      <c r="H147" s="411"/>
      <c r="I147" s="412"/>
      <c r="J147" s="417"/>
      <c r="K147" s="417"/>
      <c r="L147" s="419"/>
      <c r="M147" s="418"/>
      <c r="N147" s="418"/>
      <c r="O147" s="418"/>
      <c r="P147" s="415"/>
      <c r="Q147" s="416"/>
      <c r="R147" s="426"/>
      <c r="S147" s="410"/>
      <c r="T147" s="432"/>
      <c r="U147" s="412"/>
      <c r="V147"/>
      <c r="W147"/>
      <c r="X147"/>
      <c r="Y147" s="425"/>
      <c r="Z147" s="112"/>
      <c r="AA147" s="110" t="s">
        <v>1726</v>
      </c>
      <c r="AB147" s="113" t="s">
        <v>1735</v>
      </c>
      <c r="AC147" s="121" t="str">
        <f t="shared" si="73"/>
        <v>Торф</v>
      </c>
      <c r="AD147" s="191" t="str">
        <f t="shared" si="0"/>
        <v>Торф :: ACTI</v>
      </c>
      <c r="AE147" s="122"/>
      <c r="AF147" s="116">
        <f t="shared" si="74"/>
        <v>0</v>
      </c>
      <c r="AG147" s="185">
        <f t="shared" si="75"/>
        <v>0</v>
      </c>
      <c r="AH147" s="185">
        <f t="shared" si="76"/>
        <v>0</v>
      </c>
      <c r="AI147" s="185">
        <f t="shared" si="77"/>
        <v>0</v>
      </c>
      <c r="AJ147" s="185">
        <f t="shared" si="78"/>
        <v>0</v>
      </c>
      <c r="AK147" s="122"/>
      <c r="AL147" s="122"/>
      <c r="AM147" s="123">
        <f t="shared" si="79"/>
        <v>0</v>
      </c>
      <c r="AN147" s="123">
        <f t="shared" si="80"/>
        <v>0</v>
      </c>
      <c r="AO147" s="116">
        <f t="shared" si="81"/>
        <v>0</v>
      </c>
      <c r="AP147" s="115"/>
      <c r="AQ147" s="115"/>
      <c r="AR147" s="115"/>
      <c r="AS147" s="122"/>
      <c r="AT147" s="116">
        <f t="shared" si="82"/>
        <v>0</v>
      </c>
      <c r="AU147" s="122"/>
      <c r="AV147" s="123">
        <f t="shared" si="83"/>
        <v>0</v>
      </c>
      <c r="AW147" s="116">
        <f t="shared" si="84"/>
        <v>0</v>
      </c>
      <c r="AX147" s="117"/>
      <c r="AY147" s="116">
        <f t="shared" si="85"/>
        <v>0</v>
      </c>
      <c r="AZ147" s="117"/>
      <c r="BA147" s="116">
        <f t="shared" si="86"/>
        <v>0</v>
      </c>
      <c r="BB147" s="116">
        <f t="shared" si="87"/>
        <v>0</v>
      </c>
      <c r="BC147" s="117"/>
      <c r="BD147" s="116">
        <f t="shared" si="88"/>
        <v>0</v>
      </c>
      <c r="BE147" s="117"/>
      <c r="BF147" s="116">
        <f t="shared" si="89"/>
        <v>0</v>
      </c>
      <c r="BG147" s="116">
        <f t="shared" si="90"/>
        <v>0</v>
      </c>
      <c r="BH147" s="115"/>
      <c r="BI147" s="115"/>
      <c r="BJ147" s="115"/>
      <c r="BK147" s="115"/>
      <c r="BL147" s="115"/>
      <c r="BM147" s="365"/>
      <c r="BN147" s="116">
        <f t="shared" si="91"/>
        <v>0</v>
      </c>
      <c r="BO147" s="185">
        <f t="shared" si="92"/>
        <v>0</v>
      </c>
      <c r="BP147" s="185">
        <f t="shared" si="93"/>
        <v>0</v>
      </c>
      <c r="BQ147" s="185">
        <f t="shared" si="94"/>
        <v>0</v>
      </c>
      <c r="BR147" s="185">
        <f t="shared" si="95"/>
        <v>0</v>
      </c>
      <c r="BS147" s="365"/>
      <c r="BT147" s="365"/>
      <c r="BU147" s="123">
        <f t="shared" si="96"/>
        <v>0</v>
      </c>
      <c r="BV147" s="123">
        <f t="shared" si="97"/>
        <v>0</v>
      </c>
      <c r="BW147" s="116">
        <f t="shared" si="98"/>
        <v>0</v>
      </c>
      <c r="BX147" s="115"/>
      <c r="BY147" s="115"/>
      <c r="BZ147" s="115"/>
      <c r="CA147" s="365"/>
      <c r="CB147" s="116">
        <f t="shared" si="99"/>
        <v>0</v>
      </c>
      <c r="CC147" s="365"/>
      <c r="CD147" s="123">
        <f t="shared" si="100"/>
        <v>0</v>
      </c>
      <c r="CE147" s="116">
        <f t="shared" si="101"/>
        <v>0</v>
      </c>
      <c r="CF147" s="218"/>
      <c r="CG147" s="116">
        <f t="shared" si="102"/>
        <v>0</v>
      </c>
      <c r="CH147" s="218"/>
      <c r="CI147" s="116">
        <f t="shared" si="103"/>
        <v>0</v>
      </c>
      <c r="CJ147" s="116">
        <f t="shared" si="104"/>
        <v>0</v>
      </c>
      <c r="CK147" s="218"/>
      <c r="CL147" s="116">
        <f t="shared" si="105"/>
        <v>0</v>
      </c>
      <c r="CM147" s="218"/>
      <c r="CN147" s="116">
        <f t="shared" si="106"/>
        <v>0</v>
      </c>
      <c r="CO147" s="116">
        <f t="shared" si="107"/>
        <v>0</v>
      </c>
      <c r="CP147" s="115"/>
      <c r="CQ147" s="115"/>
      <c r="CR147" s="115"/>
      <c r="CS147" s="115"/>
      <c r="CT147" s="115"/>
      <c r="CU147" s="365"/>
      <c r="CV147" s="116">
        <f t="shared" si="108"/>
        <v>0</v>
      </c>
      <c r="CW147" s="185">
        <f t="shared" si="109"/>
        <v>0</v>
      </c>
      <c r="CX147" s="185">
        <f t="shared" si="110"/>
        <v>0</v>
      </c>
      <c r="CY147" s="185">
        <f t="shared" si="111"/>
        <v>0</v>
      </c>
      <c r="CZ147" s="185">
        <f t="shared" si="112"/>
        <v>0</v>
      </c>
      <c r="DA147" s="365"/>
      <c r="DB147" s="365"/>
      <c r="DC147" s="123">
        <f t="shared" si="113"/>
        <v>0</v>
      </c>
      <c r="DD147" s="123">
        <f t="shared" si="114"/>
        <v>0</v>
      </c>
      <c r="DE147" s="116">
        <f t="shared" si="115"/>
        <v>0</v>
      </c>
      <c r="DF147" s="115"/>
      <c r="DG147" s="115"/>
      <c r="DH147" s="115"/>
      <c r="DI147" s="365"/>
      <c r="DJ147" s="116">
        <f t="shared" si="116"/>
        <v>0</v>
      </c>
      <c r="DK147" s="365"/>
      <c r="DL147" s="123">
        <f t="shared" si="117"/>
        <v>0</v>
      </c>
      <c r="DM147" s="116">
        <f t="shared" si="118"/>
        <v>0</v>
      </c>
      <c r="DN147" s="218"/>
      <c r="DO147" s="116">
        <f t="shared" si="119"/>
        <v>0</v>
      </c>
      <c r="DP147" s="218"/>
      <c r="DQ147" s="116">
        <f t="shared" si="120"/>
        <v>0</v>
      </c>
      <c r="DR147" s="116">
        <f t="shared" si="121"/>
        <v>0</v>
      </c>
      <c r="DS147" s="218"/>
      <c r="DT147" s="116">
        <f t="shared" si="122"/>
        <v>0</v>
      </c>
      <c r="DU147" s="218"/>
      <c r="DV147" s="116">
        <f t="shared" si="123"/>
        <v>0</v>
      </c>
      <c r="DW147" s="116">
        <f t="shared" si="124"/>
        <v>0</v>
      </c>
      <c r="DX147" s="115"/>
      <c r="DY147" s="115"/>
      <c r="DZ147" s="115"/>
      <c r="EA147" s="115"/>
      <c r="EB147" s="115"/>
      <c r="EC147" s="365"/>
      <c r="ED147" s="116">
        <f t="shared" si="125"/>
        <v>0</v>
      </c>
      <c r="EE147" s="185">
        <f t="shared" si="126"/>
        <v>0</v>
      </c>
      <c r="EF147" s="185">
        <f t="shared" si="127"/>
        <v>0</v>
      </c>
      <c r="EG147" s="185">
        <f t="shared" si="128"/>
        <v>0</v>
      </c>
      <c r="EH147" s="185">
        <f t="shared" si="129"/>
        <v>0</v>
      </c>
      <c r="EI147" s="365"/>
      <c r="EJ147" s="365"/>
      <c r="EK147" s="123">
        <f t="shared" si="130"/>
        <v>0</v>
      </c>
      <c r="EL147" s="123">
        <f t="shared" si="131"/>
        <v>0</v>
      </c>
      <c r="EM147" s="116">
        <f t="shared" si="132"/>
        <v>0</v>
      </c>
      <c r="EN147" s="115"/>
      <c r="EO147" s="115"/>
      <c r="EP147" s="115"/>
      <c r="EQ147" s="365"/>
      <c r="ER147" s="116">
        <f t="shared" si="133"/>
        <v>0</v>
      </c>
      <c r="ES147" s="365"/>
      <c r="ET147" s="123">
        <f t="shared" si="134"/>
        <v>0</v>
      </c>
      <c r="EU147" s="116">
        <f t="shared" si="135"/>
        <v>0</v>
      </c>
      <c r="EV147" s="218"/>
      <c r="EW147" s="116">
        <f t="shared" si="136"/>
        <v>0</v>
      </c>
      <c r="EX147" s="218"/>
      <c r="EY147" s="116">
        <f t="shared" si="137"/>
        <v>0</v>
      </c>
      <c r="EZ147" s="116">
        <f t="shared" si="138"/>
        <v>0</v>
      </c>
      <c r="FA147" s="218"/>
      <c r="FB147" s="116">
        <f t="shared" si="139"/>
        <v>0</v>
      </c>
      <c r="FC147" s="218"/>
      <c r="FD147" s="116">
        <f t="shared" si="140"/>
        <v>0</v>
      </c>
      <c r="FE147" s="116">
        <f t="shared" si="141"/>
        <v>0</v>
      </c>
      <c r="FF147" s="115"/>
      <c r="FG147" s="115"/>
      <c r="FH147" s="115"/>
      <c r="FI147" s="115"/>
      <c r="FJ147" s="115"/>
      <c r="FK147" s="110">
        <f>$T132</f>
        <v>0</v>
      </c>
      <c r="FL147" s="118" t="str">
        <f>IF($G132="","ACTI","DELD")</f>
        <v>ACTI</v>
      </c>
      <c r="FM147" s="119" t="str">
        <f>$I132 &amp; "." &amp; $AA147 &amp; ".1"</f>
        <v>.12.1</v>
      </c>
      <c r="FN147" s="427"/>
      <c r="FO147" s="201"/>
      <c r="FP147" s="360"/>
      <c r="FQ147" s="360"/>
      <c r="FR147" s="360"/>
      <c r="FS147" s="204">
        <f t="shared" si="21"/>
        <v>0</v>
      </c>
      <c r="FT147" s="9"/>
      <c r="FU147" s="9"/>
      <c r="FV147" s="9"/>
      <c r="FW147" s="9"/>
      <c r="FX147" s="205"/>
      <c r="FY147" s="9"/>
      <c r="FZ147" s="206"/>
      <c r="GA147" s="46"/>
      <c r="GD147" s="192">
        <f>M132</f>
        <v>0</v>
      </c>
      <c r="GE147" s="192">
        <f>N132</f>
        <v>0</v>
      </c>
      <c r="GF147" s="193" t="str">
        <f>MID(Q132,1,50) &amp; LEN(Q132)</f>
        <v>0</v>
      </c>
      <c r="GG147" s="192" t="str">
        <f>IF(S132="производство комбинированная выработка","COGENERATION","HEATING")</f>
        <v>HEATING</v>
      </c>
      <c r="GH147" s="194" t="str">
        <f t="shared" si="22"/>
        <v>Торф :: ACTI</v>
      </c>
      <c r="GI147" s="194" t="str">
        <f t="shared" si="23"/>
        <v>0::0::0::HEATING::Торф :: ACTI</v>
      </c>
      <c r="GJ147" s="10"/>
      <c r="GK147" s="10"/>
      <c r="GL147" s="10"/>
      <c r="GM147" s="10"/>
    </row>
    <row r="148" spans="1:195" s="75" customFormat="1" ht="12" hidden="1" customHeight="1">
      <c r="F148" s="200"/>
      <c r="G148" s="406"/>
      <c r="H148" s="411"/>
      <c r="I148" s="412"/>
      <c r="J148" s="417"/>
      <c r="K148" s="417"/>
      <c r="L148" s="419"/>
      <c r="M148" s="418"/>
      <c r="N148" s="418"/>
      <c r="O148" s="418"/>
      <c r="P148" s="415"/>
      <c r="Q148" s="416"/>
      <c r="R148" s="426"/>
      <c r="S148" s="410"/>
      <c r="T148" s="432"/>
      <c r="U148" s="412"/>
      <c r="V148"/>
      <c r="W148"/>
      <c r="X148"/>
      <c r="Y148" s="425"/>
      <c r="Z148" s="112"/>
      <c r="AA148" s="111" t="s">
        <v>1727</v>
      </c>
      <c r="AB148" s="113" t="s">
        <v>1734</v>
      </c>
      <c r="AC148" s="121" t="str">
        <f t="shared" si="73"/>
        <v>Сланцы</v>
      </c>
      <c r="AD148" s="191" t="str">
        <f t="shared" si="0"/>
        <v>Сланцы :: ACTI</v>
      </c>
      <c r="AE148" s="122"/>
      <c r="AF148" s="116">
        <f t="shared" si="74"/>
        <v>0</v>
      </c>
      <c r="AG148" s="185">
        <f t="shared" si="75"/>
        <v>0</v>
      </c>
      <c r="AH148" s="185">
        <f t="shared" si="76"/>
        <v>0</v>
      </c>
      <c r="AI148" s="185">
        <f t="shared" si="77"/>
        <v>0</v>
      </c>
      <c r="AJ148" s="185">
        <f t="shared" si="78"/>
        <v>0</v>
      </c>
      <c r="AK148" s="122"/>
      <c r="AL148" s="122"/>
      <c r="AM148" s="123">
        <f t="shared" si="79"/>
        <v>0</v>
      </c>
      <c r="AN148" s="123">
        <f t="shared" si="80"/>
        <v>0</v>
      </c>
      <c r="AO148" s="116">
        <f t="shared" si="81"/>
        <v>0</v>
      </c>
      <c r="AP148" s="115"/>
      <c r="AQ148" s="115"/>
      <c r="AR148" s="115"/>
      <c r="AS148" s="122"/>
      <c r="AT148" s="116">
        <f t="shared" si="82"/>
        <v>0</v>
      </c>
      <c r="AU148" s="122"/>
      <c r="AV148" s="123">
        <f t="shared" si="83"/>
        <v>0</v>
      </c>
      <c r="AW148" s="116">
        <f t="shared" si="84"/>
        <v>0</v>
      </c>
      <c r="AX148" s="117"/>
      <c r="AY148" s="116">
        <f t="shared" si="85"/>
        <v>0</v>
      </c>
      <c r="AZ148" s="117"/>
      <c r="BA148" s="116">
        <f t="shared" si="86"/>
        <v>0</v>
      </c>
      <c r="BB148" s="116">
        <f t="shared" si="87"/>
        <v>0</v>
      </c>
      <c r="BC148" s="117"/>
      <c r="BD148" s="116">
        <f t="shared" si="88"/>
        <v>0</v>
      </c>
      <c r="BE148" s="117"/>
      <c r="BF148" s="116">
        <f t="shared" si="89"/>
        <v>0</v>
      </c>
      <c r="BG148" s="116">
        <f t="shared" si="90"/>
        <v>0</v>
      </c>
      <c r="BH148" s="115"/>
      <c r="BI148" s="115"/>
      <c r="BJ148" s="115"/>
      <c r="BK148" s="115"/>
      <c r="BL148" s="115"/>
      <c r="BM148" s="365"/>
      <c r="BN148" s="116">
        <f t="shared" si="91"/>
        <v>0</v>
      </c>
      <c r="BO148" s="185">
        <f t="shared" si="92"/>
        <v>0</v>
      </c>
      <c r="BP148" s="185">
        <f t="shared" si="93"/>
        <v>0</v>
      </c>
      <c r="BQ148" s="185">
        <f t="shared" si="94"/>
        <v>0</v>
      </c>
      <c r="BR148" s="185">
        <f t="shared" si="95"/>
        <v>0</v>
      </c>
      <c r="BS148" s="365"/>
      <c r="BT148" s="365"/>
      <c r="BU148" s="123">
        <f t="shared" si="96"/>
        <v>0</v>
      </c>
      <c r="BV148" s="123">
        <f t="shared" si="97"/>
        <v>0</v>
      </c>
      <c r="BW148" s="116">
        <f t="shared" si="98"/>
        <v>0</v>
      </c>
      <c r="BX148" s="115"/>
      <c r="BY148" s="115"/>
      <c r="BZ148" s="115"/>
      <c r="CA148" s="365"/>
      <c r="CB148" s="116">
        <f t="shared" si="99"/>
        <v>0</v>
      </c>
      <c r="CC148" s="365"/>
      <c r="CD148" s="123">
        <f t="shared" si="100"/>
        <v>0</v>
      </c>
      <c r="CE148" s="116">
        <f t="shared" si="101"/>
        <v>0</v>
      </c>
      <c r="CF148" s="218"/>
      <c r="CG148" s="116">
        <f t="shared" si="102"/>
        <v>0</v>
      </c>
      <c r="CH148" s="218"/>
      <c r="CI148" s="116">
        <f t="shared" si="103"/>
        <v>0</v>
      </c>
      <c r="CJ148" s="116">
        <f t="shared" si="104"/>
        <v>0</v>
      </c>
      <c r="CK148" s="218"/>
      <c r="CL148" s="116">
        <f t="shared" si="105"/>
        <v>0</v>
      </c>
      <c r="CM148" s="218"/>
      <c r="CN148" s="116">
        <f t="shared" si="106"/>
        <v>0</v>
      </c>
      <c r="CO148" s="116">
        <f t="shared" si="107"/>
        <v>0</v>
      </c>
      <c r="CP148" s="115"/>
      <c r="CQ148" s="115"/>
      <c r="CR148" s="115"/>
      <c r="CS148" s="115"/>
      <c r="CT148" s="115"/>
      <c r="CU148" s="365"/>
      <c r="CV148" s="116">
        <f t="shared" si="108"/>
        <v>0</v>
      </c>
      <c r="CW148" s="185">
        <f t="shared" si="109"/>
        <v>0</v>
      </c>
      <c r="CX148" s="185">
        <f t="shared" si="110"/>
        <v>0</v>
      </c>
      <c r="CY148" s="185">
        <f t="shared" si="111"/>
        <v>0</v>
      </c>
      <c r="CZ148" s="185">
        <f t="shared" si="112"/>
        <v>0</v>
      </c>
      <c r="DA148" s="365"/>
      <c r="DB148" s="365"/>
      <c r="DC148" s="123">
        <f t="shared" si="113"/>
        <v>0</v>
      </c>
      <c r="DD148" s="123">
        <f t="shared" si="114"/>
        <v>0</v>
      </c>
      <c r="DE148" s="116">
        <f t="shared" si="115"/>
        <v>0</v>
      </c>
      <c r="DF148" s="115"/>
      <c r="DG148" s="115"/>
      <c r="DH148" s="115"/>
      <c r="DI148" s="365"/>
      <c r="DJ148" s="116">
        <f t="shared" si="116"/>
        <v>0</v>
      </c>
      <c r="DK148" s="365"/>
      <c r="DL148" s="123">
        <f t="shared" si="117"/>
        <v>0</v>
      </c>
      <c r="DM148" s="116">
        <f t="shared" si="118"/>
        <v>0</v>
      </c>
      <c r="DN148" s="218"/>
      <c r="DO148" s="116">
        <f t="shared" si="119"/>
        <v>0</v>
      </c>
      <c r="DP148" s="218"/>
      <c r="DQ148" s="116">
        <f t="shared" si="120"/>
        <v>0</v>
      </c>
      <c r="DR148" s="116">
        <f t="shared" si="121"/>
        <v>0</v>
      </c>
      <c r="DS148" s="218"/>
      <c r="DT148" s="116">
        <f t="shared" si="122"/>
        <v>0</v>
      </c>
      <c r="DU148" s="218"/>
      <c r="DV148" s="116">
        <f t="shared" si="123"/>
        <v>0</v>
      </c>
      <c r="DW148" s="116">
        <f t="shared" si="124"/>
        <v>0</v>
      </c>
      <c r="DX148" s="115"/>
      <c r="DY148" s="115"/>
      <c r="DZ148" s="115"/>
      <c r="EA148" s="115"/>
      <c r="EB148" s="115"/>
      <c r="EC148" s="365"/>
      <c r="ED148" s="116">
        <f t="shared" si="125"/>
        <v>0</v>
      </c>
      <c r="EE148" s="185">
        <f t="shared" si="126"/>
        <v>0</v>
      </c>
      <c r="EF148" s="185">
        <f t="shared" si="127"/>
        <v>0</v>
      </c>
      <c r="EG148" s="185">
        <f t="shared" si="128"/>
        <v>0</v>
      </c>
      <c r="EH148" s="185">
        <f t="shared" si="129"/>
        <v>0</v>
      </c>
      <c r="EI148" s="365"/>
      <c r="EJ148" s="365"/>
      <c r="EK148" s="123">
        <f t="shared" si="130"/>
        <v>0</v>
      </c>
      <c r="EL148" s="123">
        <f t="shared" si="131"/>
        <v>0</v>
      </c>
      <c r="EM148" s="116">
        <f t="shared" si="132"/>
        <v>0</v>
      </c>
      <c r="EN148" s="115"/>
      <c r="EO148" s="115"/>
      <c r="EP148" s="115"/>
      <c r="EQ148" s="365"/>
      <c r="ER148" s="116">
        <f t="shared" si="133"/>
        <v>0</v>
      </c>
      <c r="ES148" s="365"/>
      <c r="ET148" s="123">
        <f t="shared" si="134"/>
        <v>0</v>
      </c>
      <c r="EU148" s="116">
        <f t="shared" si="135"/>
        <v>0</v>
      </c>
      <c r="EV148" s="218"/>
      <c r="EW148" s="116">
        <f t="shared" si="136"/>
        <v>0</v>
      </c>
      <c r="EX148" s="218"/>
      <c r="EY148" s="116">
        <f t="shared" si="137"/>
        <v>0</v>
      </c>
      <c r="EZ148" s="116">
        <f t="shared" si="138"/>
        <v>0</v>
      </c>
      <c r="FA148" s="218"/>
      <c r="FB148" s="116">
        <f t="shared" si="139"/>
        <v>0</v>
      </c>
      <c r="FC148" s="218"/>
      <c r="FD148" s="116">
        <f t="shared" si="140"/>
        <v>0</v>
      </c>
      <c r="FE148" s="116">
        <f t="shared" si="141"/>
        <v>0</v>
      </c>
      <c r="FF148" s="115"/>
      <c r="FG148" s="115"/>
      <c r="FH148" s="115"/>
      <c r="FI148" s="115"/>
      <c r="FJ148" s="115"/>
      <c r="FK148" s="110">
        <f>$T132</f>
        <v>0</v>
      </c>
      <c r="FL148" s="118" t="str">
        <f>IF($G132="","ACTI","DELD")</f>
        <v>ACTI</v>
      </c>
      <c r="FM148" s="119" t="str">
        <f>$I132 &amp; "." &amp; $AA148 &amp; ".1"</f>
        <v>.13.1</v>
      </c>
      <c r="FN148" s="427"/>
      <c r="FO148" s="201"/>
      <c r="FP148" s="360"/>
      <c r="FQ148" s="360"/>
      <c r="FR148" s="360"/>
      <c r="FS148" s="204">
        <f t="shared" si="21"/>
        <v>0</v>
      </c>
      <c r="FT148" s="9"/>
      <c r="FU148" s="9"/>
      <c r="FV148" s="9"/>
      <c r="FW148" s="9"/>
      <c r="FX148" s="205"/>
      <c r="FY148" s="9"/>
      <c r="FZ148" s="206"/>
      <c r="GA148" s="46"/>
      <c r="GD148" s="192">
        <f>M132</f>
        <v>0</v>
      </c>
      <c r="GE148" s="192">
        <f>N132</f>
        <v>0</v>
      </c>
      <c r="GF148" s="193" t="str">
        <f>MID(Q132,1,50) &amp; LEN(Q132)</f>
        <v>0</v>
      </c>
      <c r="GG148" s="192" t="str">
        <f>IF(S132="производство комбинированная выработка","COGENERATION","HEATING")</f>
        <v>HEATING</v>
      </c>
      <c r="GH148" s="194" t="str">
        <f t="shared" si="22"/>
        <v>Сланцы :: ACTI</v>
      </c>
      <c r="GI148" s="194" t="str">
        <f t="shared" si="23"/>
        <v>0::0::0::HEATING::Сланцы :: ACTI</v>
      </c>
      <c r="GJ148" s="10"/>
      <c r="GK148" s="10"/>
      <c r="GL148" s="10"/>
      <c r="GM148" s="10"/>
    </row>
    <row r="149" spans="1:195" s="75" customFormat="1" ht="12" hidden="1" customHeight="1">
      <c r="F149" s="200"/>
      <c r="G149" s="406"/>
      <c r="H149" s="411"/>
      <c r="I149" s="412"/>
      <c r="J149" s="417"/>
      <c r="K149" s="417"/>
      <c r="L149" s="419"/>
      <c r="M149" s="418"/>
      <c r="N149" s="418"/>
      <c r="O149" s="418"/>
      <c r="P149" s="415"/>
      <c r="Q149" s="416"/>
      <c r="R149" s="426"/>
      <c r="S149" s="410"/>
      <c r="T149" s="432"/>
      <c r="U149" s="412"/>
      <c r="V149"/>
      <c r="W149"/>
      <c r="X149"/>
      <c r="Y149" s="425"/>
      <c r="Z149" s="112"/>
      <c r="AA149" s="110" t="s">
        <v>1728</v>
      </c>
      <c r="AB149" s="113" t="s">
        <v>1746</v>
      </c>
      <c r="AC149" s="121" t="str">
        <f t="shared" si="73"/>
        <v>Печное бытовое топливо</v>
      </c>
      <c r="AD149" s="191" t="str">
        <f t="shared" si="0"/>
        <v>Печное бытовое топливо :: ACTI</v>
      </c>
      <c r="AE149" s="122"/>
      <c r="AF149" s="116">
        <f t="shared" si="74"/>
        <v>0</v>
      </c>
      <c r="AG149" s="185">
        <f t="shared" si="75"/>
        <v>0</v>
      </c>
      <c r="AH149" s="185">
        <f t="shared" si="76"/>
        <v>0</v>
      </c>
      <c r="AI149" s="185">
        <f t="shared" si="77"/>
        <v>0</v>
      </c>
      <c r="AJ149" s="185">
        <f t="shared" si="78"/>
        <v>0</v>
      </c>
      <c r="AK149" s="122"/>
      <c r="AL149" s="122"/>
      <c r="AM149" s="123">
        <f t="shared" si="79"/>
        <v>0</v>
      </c>
      <c r="AN149" s="123">
        <f t="shared" si="80"/>
        <v>0</v>
      </c>
      <c r="AO149" s="116">
        <f t="shared" si="81"/>
        <v>0</v>
      </c>
      <c r="AP149" s="115"/>
      <c r="AQ149" s="115"/>
      <c r="AR149" s="115"/>
      <c r="AS149" s="122"/>
      <c r="AT149" s="116">
        <f t="shared" si="82"/>
        <v>0</v>
      </c>
      <c r="AU149" s="122"/>
      <c r="AV149" s="123">
        <f t="shared" si="83"/>
        <v>0</v>
      </c>
      <c r="AW149" s="116">
        <f t="shared" si="84"/>
        <v>0</v>
      </c>
      <c r="AX149" s="117"/>
      <c r="AY149" s="116">
        <f t="shared" si="85"/>
        <v>0</v>
      </c>
      <c r="AZ149" s="117"/>
      <c r="BA149" s="116">
        <f t="shared" si="86"/>
        <v>0</v>
      </c>
      <c r="BB149" s="116">
        <f t="shared" si="87"/>
        <v>0</v>
      </c>
      <c r="BC149" s="117"/>
      <c r="BD149" s="116">
        <f t="shared" si="88"/>
        <v>0</v>
      </c>
      <c r="BE149" s="117"/>
      <c r="BF149" s="116">
        <f t="shared" si="89"/>
        <v>0</v>
      </c>
      <c r="BG149" s="116">
        <f t="shared" si="90"/>
        <v>0</v>
      </c>
      <c r="BH149" s="115"/>
      <c r="BI149" s="115"/>
      <c r="BJ149" s="115"/>
      <c r="BK149" s="115"/>
      <c r="BL149" s="115"/>
      <c r="BM149" s="365"/>
      <c r="BN149" s="116">
        <f t="shared" si="91"/>
        <v>0</v>
      </c>
      <c r="BO149" s="185">
        <f t="shared" si="92"/>
        <v>0</v>
      </c>
      <c r="BP149" s="185">
        <f t="shared" si="93"/>
        <v>0</v>
      </c>
      <c r="BQ149" s="185">
        <f t="shared" si="94"/>
        <v>0</v>
      </c>
      <c r="BR149" s="185">
        <f t="shared" si="95"/>
        <v>0</v>
      </c>
      <c r="BS149" s="365"/>
      <c r="BT149" s="365"/>
      <c r="BU149" s="123">
        <f t="shared" si="96"/>
        <v>0</v>
      </c>
      <c r="BV149" s="123">
        <f t="shared" si="97"/>
        <v>0</v>
      </c>
      <c r="BW149" s="116">
        <f t="shared" si="98"/>
        <v>0</v>
      </c>
      <c r="BX149" s="115"/>
      <c r="BY149" s="115"/>
      <c r="BZ149" s="115"/>
      <c r="CA149" s="365"/>
      <c r="CB149" s="116">
        <f t="shared" si="99"/>
        <v>0</v>
      </c>
      <c r="CC149" s="365"/>
      <c r="CD149" s="123">
        <f t="shared" si="100"/>
        <v>0</v>
      </c>
      <c r="CE149" s="116">
        <f t="shared" si="101"/>
        <v>0</v>
      </c>
      <c r="CF149" s="218"/>
      <c r="CG149" s="116">
        <f t="shared" si="102"/>
        <v>0</v>
      </c>
      <c r="CH149" s="218"/>
      <c r="CI149" s="116">
        <f t="shared" si="103"/>
        <v>0</v>
      </c>
      <c r="CJ149" s="116">
        <f t="shared" si="104"/>
        <v>0</v>
      </c>
      <c r="CK149" s="218"/>
      <c r="CL149" s="116">
        <f t="shared" si="105"/>
        <v>0</v>
      </c>
      <c r="CM149" s="218"/>
      <c r="CN149" s="116">
        <f t="shared" si="106"/>
        <v>0</v>
      </c>
      <c r="CO149" s="116">
        <f t="shared" si="107"/>
        <v>0</v>
      </c>
      <c r="CP149" s="115"/>
      <c r="CQ149" s="115"/>
      <c r="CR149" s="115"/>
      <c r="CS149" s="115"/>
      <c r="CT149" s="115"/>
      <c r="CU149" s="365"/>
      <c r="CV149" s="116">
        <f t="shared" si="108"/>
        <v>0</v>
      </c>
      <c r="CW149" s="185">
        <f t="shared" si="109"/>
        <v>0</v>
      </c>
      <c r="CX149" s="185">
        <f t="shared" si="110"/>
        <v>0</v>
      </c>
      <c r="CY149" s="185">
        <f t="shared" si="111"/>
        <v>0</v>
      </c>
      <c r="CZ149" s="185">
        <f t="shared" si="112"/>
        <v>0</v>
      </c>
      <c r="DA149" s="365"/>
      <c r="DB149" s="365"/>
      <c r="DC149" s="123">
        <f t="shared" si="113"/>
        <v>0</v>
      </c>
      <c r="DD149" s="123">
        <f t="shared" si="114"/>
        <v>0</v>
      </c>
      <c r="DE149" s="116">
        <f t="shared" si="115"/>
        <v>0</v>
      </c>
      <c r="DF149" s="115"/>
      <c r="DG149" s="115"/>
      <c r="DH149" s="115"/>
      <c r="DI149" s="365"/>
      <c r="DJ149" s="116">
        <f t="shared" si="116"/>
        <v>0</v>
      </c>
      <c r="DK149" s="365"/>
      <c r="DL149" s="123">
        <f t="shared" si="117"/>
        <v>0</v>
      </c>
      <c r="DM149" s="116">
        <f t="shared" si="118"/>
        <v>0</v>
      </c>
      <c r="DN149" s="218"/>
      <c r="DO149" s="116">
        <f t="shared" si="119"/>
        <v>0</v>
      </c>
      <c r="DP149" s="218"/>
      <c r="DQ149" s="116">
        <f t="shared" si="120"/>
        <v>0</v>
      </c>
      <c r="DR149" s="116">
        <f t="shared" si="121"/>
        <v>0</v>
      </c>
      <c r="DS149" s="218"/>
      <c r="DT149" s="116">
        <f t="shared" si="122"/>
        <v>0</v>
      </c>
      <c r="DU149" s="218"/>
      <c r="DV149" s="116">
        <f t="shared" si="123"/>
        <v>0</v>
      </c>
      <c r="DW149" s="116">
        <f t="shared" si="124"/>
        <v>0</v>
      </c>
      <c r="DX149" s="115"/>
      <c r="DY149" s="115"/>
      <c r="DZ149" s="115"/>
      <c r="EA149" s="115"/>
      <c r="EB149" s="115"/>
      <c r="EC149" s="365"/>
      <c r="ED149" s="116">
        <f t="shared" si="125"/>
        <v>0</v>
      </c>
      <c r="EE149" s="185">
        <f t="shared" si="126"/>
        <v>0</v>
      </c>
      <c r="EF149" s="185">
        <f t="shared" si="127"/>
        <v>0</v>
      </c>
      <c r="EG149" s="185">
        <f t="shared" si="128"/>
        <v>0</v>
      </c>
      <c r="EH149" s="185">
        <f t="shared" si="129"/>
        <v>0</v>
      </c>
      <c r="EI149" s="365"/>
      <c r="EJ149" s="365"/>
      <c r="EK149" s="123">
        <f t="shared" si="130"/>
        <v>0</v>
      </c>
      <c r="EL149" s="123">
        <f t="shared" si="131"/>
        <v>0</v>
      </c>
      <c r="EM149" s="116">
        <f t="shared" si="132"/>
        <v>0</v>
      </c>
      <c r="EN149" s="115"/>
      <c r="EO149" s="115"/>
      <c r="EP149" s="115"/>
      <c r="EQ149" s="365"/>
      <c r="ER149" s="116">
        <f t="shared" si="133"/>
        <v>0</v>
      </c>
      <c r="ES149" s="365"/>
      <c r="ET149" s="123">
        <f t="shared" si="134"/>
        <v>0</v>
      </c>
      <c r="EU149" s="116">
        <f t="shared" si="135"/>
        <v>0</v>
      </c>
      <c r="EV149" s="218"/>
      <c r="EW149" s="116">
        <f t="shared" si="136"/>
        <v>0</v>
      </c>
      <c r="EX149" s="218"/>
      <c r="EY149" s="116">
        <f t="shared" si="137"/>
        <v>0</v>
      </c>
      <c r="EZ149" s="116">
        <f t="shared" si="138"/>
        <v>0</v>
      </c>
      <c r="FA149" s="218"/>
      <c r="FB149" s="116">
        <f t="shared" si="139"/>
        <v>0</v>
      </c>
      <c r="FC149" s="218"/>
      <c r="FD149" s="116">
        <f t="shared" si="140"/>
        <v>0</v>
      </c>
      <c r="FE149" s="116">
        <f t="shared" si="141"/>
        <v>0</v>
      </c>
      <c r="FF149" s="115"/>
      <c r="FG149" s="115"/>
      <c r="FH149" s="115"/>
      <c r="FI149" s="115"/>
      <c r="FJ149" s="115"/>
      <c r="FK149" s="110">
        <f>$T132</f>
        <v>0</v>
      </c>
      <c r="FL149" s="118" t="str">
        <f>IF($G132="","ACTI","DELD")</f>
        <v>ACTI</v>
      </c>
      <c r="FM149" s="119" t="str">
        <f>$I132 &amp; "." &amp; $AA149 &amp; ".1"</f>
        <v>.14.1</v>
      </c>
      <c r="FN149" s="427"/>
      <c r="FO149" s="201"/>
      <c r="FP149" s="360"/>
      <c r="FQ149" s="360"/>
      <c r="FR149" s="360"/>
      <c r="FS149" s="204">
        <f t="shared" si="21"/>
        <v>0</v>
      </c>
      <c r="FT149" s="9"/>
      <c r="FU149" s="9"/>
      <c r="FV149" s="9"/>
      <c r="FW149" s="9"/>
      <c r="FX149" s="205"/>
      <c r="FY149" s="9"/>
      <c r="FZ149" s="206"/>
      <c r="GA149" s="46"/>
      <c r="GD149" s="192">
        <f>M132</f>
        <v>0</v>
      </c>
      <c r="GE149" s="192">
        <f>N132</f>
        <v>0</v>
      </c>
      <c r="GF149" s="193" t="str">
        <f>MID(Q132,1,50) &amp; LEN(Q132)</f>
        <v>0</v>
      </c>
      <c r="GG149" s="192" t="str">
        <f>IF(S132="производство комбинированная выработка","COGENERATION","HEATING")</f>
        <v>HEATING</v>
      </c>
      <c r="GH149" s="194" t="str">
        <f t="shared" si="22"/>
        <v>Печное бытовое топливо :: ACTI</v>
      </c>
      <c r="GI149" s="194" t="str">
        <f t="shared" si="23"/>
        <v>0::0::0::HEATING::Печное бытовое топливо :: ACTI</v>
      </c>
      <c r="GJ149" s="10"/>
      <c r="GK149" s="10"/>
      <c r="GL149" s="10"/>
      <c r="GM149" s="10"/>
    </row>
    <row r="150" spans="1:195" s="75" customFormat="1" ht="12" hidden="1" customHeight="1">
      <c r="F150" s="200"/>
      <c r="G150" s="406"/>
      <c r="H150" s="411"/>
      <c r="I150" s="412"/>
      <c r="J150" s="417"/>
      <c r="K150" s="417"/>
      <c r="L150" s="419"/>
      <c r="M150" s="418"/>
      <c r="N150" s="418"/>
      <c r="O150" s="418"/>
      <c r="P150" s="415"/>
      <c r="Q150" s="416"/>
      <c r="R150" s="426"/>
      <c r="S150" s="410"/>
      <c r="T150" s="432"/>
      <c r="U150" s="412"/>
      <c r="V150"/>
      <c r="W150"/>
      <c r="X150"/>
      <c r="Y150" s="425"/>
      <c r="Z150" s="112"/>
      <c r="AA150" s="111" t="s">
        <v>1729</v>
      </c>
      <c r="AB150" s="113" t="s">
        <v>1747</v>
      </c>
      <c r="AC150" s="121" t="str">
        <f>AB150</f>
        <v>Прочие виды топлива</v>
      </c>
      <c r="AD150" s="191" t="str">
        <f t="shared" si="0"/>
        <v>Прочие виды топлива :: ACTI</v>
      </c>
      <c r="AE150" s="122"/>
      <c r="AF150" s="116">
        <f t="shared" si="74"/>
        <v>0</v>
      </c>
      <c r="AG150" s="185">
        <f t="shared" si="75"/>
        <v>0</v>
      </c>
      <c r="AH150" s="185">
        <f t="shared" si="76"/>
        <v>0</v>
      </c>
      <c r="AI150" s="185">
        <f t="shared" si="77"/>
        <v>0</v>
      </c>
      <c r="AJ150" s="185">
        <f t="shared" si="78"/>
        <v>0</v>
      </c>
      <c r="AK150" s="122"/>
      <c r="AL150" s="122"/>
      <c r="AM150" s="123">
        <f t="shared" si="79"/>
        <v>0</v>
      </c>
      <c r="AN150" s="123">
        <f t="shared" si="80"/>
        <v>0</v>
      </c>
      <c r="AO150" s="116">
        <f t="shared" si="81"/>
        <v>0</v>
      </c>
      <c r="AP150" s="115"/>
      <c r="AQ150" s="115"/>
      <c r="AR150" s="115"/>
      <c r="AS150" s="122"/>
      <c r="AT150" s="116">
        <f t="shared" si="82"/>
        <v>0</v>
      </c>
      <c r="AU150" s="122"/>
      <c r="AV150" s="123">
        <f t="shared" si="83"/>
        <v>0</v>
      </c>
      <c r="AW150" s="116">
        <f t="shared" si="84"/>
        <v>0</v>
      </c>
      <c r="AX150" s="117"/>
      <c r="AY150" s="116">
        <f t="shared" si="85"/>
        <v>0</v>
      </c>
      <c r="AZ150" s="117"/>
      <c r="BA150" s="116">
        <f t="shared" si="86"/>
        <v>0</v>
      </c>
      <c r="BB150" s="116">
        <f t="shared" si="87"/>
        <v>0</v>
      </c>
      <c r="BC150" s="117"/>
      <c r="BD150" s="116">
        <f t="shared" si="88"/>
        <v>0</v>
      </c>
      <c r="BE150" s="117"/>
      <c r="BF150" s="116">
        <f t="shared" si="89"/>
        <v>0</v>
      </c>
      <c r="BG150" s="116">
        <f t="shared" si="90"/>
        <v>0</v>
      </c>
      <c r="BH150" s="115"/>
      <c r="BI150" s="115"/>
      <c r="BJ150" s="115"/>
      <c r="BK150" s="115"/>
      <c r="BL150" s="115"/>
      <c r="BM150" s="365"/>
      <c r="BN150" s="116">
        <f t="shared" si="91"/>
        <v>0</v>
      </c>
      <c r="BO150" s="185">
        <f t="shared" si="92"/>
        <v>0</v>
      </c>
      <c r="BP150" s="185">
        <f t="shared" si="93"/>
        <v>0</v>
      </c>
      <c r="BQ150" s="185">
        <f t="shared" si="94"/>
        <v>0</v>
      </c>
      <c r="BR150" s="185">
        <f t="shared" si="95"/>
        <v>0</v>
      </c>
      <c r="BS150" s="365"/>
      <c r="BT150" s="365"/>
      <c r="BU150" s="123">
        <f t="shared" si="96"/>
        <v>0</v>
      </c>
      <c r="BV150" s="123">
        <f t="shared" si="97"/>
        <v>0</v>
      </c>
      <c r="BW150" s="116">
        <f t="shared" si="98"/>
        <v>0</v>
      </c>
      <c r="BX150" s="115"/>
      <c r="BY150" s="115"/>
      <c r="BZ150" s="115"/>
      <c r="CA150" s="365"/>
      <c r="CB150" s="116">
        <f t="shared" si="99"/>
        <v>0</v>
      </c>
      <c r="CC150" s="365"/>
      <c r="CD150" s="123">
        <f t="shared" si="100"/>
        <v>0</v>
      </c>
      <c r="CE150" s="116">
        <f t="shared" si="101"/>
        <v>0</v>
      </c>
      <c r="CF150" s="218"/>
      <c r="CG150" s="116">
        <f t="shared" si="102"/>
        <v>0</v>
      </c>
      <c r="CH150" s="218"/>
      <c r="CI150" s="116">
        <f t="shared" si="103"/>
        <v>0</v>
      </c>
      <c r="CJ150" s="116">
        <f t="shared" si="104"/>
        <v>0</v>
      </c>
      <c r="CK150" s="218"/>
      <c r="CL150" s="116">
        <f t="shared" si="105"/>
        <v>0</v>
      </c>
      <c r="CM150" s="218"/>
      <c r="CN150" s="116">
        <f t="shared" si="106"/>
        <v>0</v>
      </c>
      <c r="CO150" s="116">
        <f t="shared" si="107"/>
        <v>0</v>
      </c>
      <c r="CP150" s="115"/>
      <c r="CQ150" s="115"/>
      <c r="CR150" s="115"/>
      <c r="CS150" s="115"/>
      <c r="CT150" s="115"/>
      <c r="CU150" s="365"/>
      <c r="CV150" s="116">
        <f t="shared" si="108"/>
        <v>0</v>
      </c>
      <c r="CW150" s="185">
        <f t="shared" si="109"/>
        <v>0</v>
      </c>
      <c r="CX150" s="185">
        <f t="shared" si="110"/>
        <v>0</v>
      </c>
      <c r="CY150" s="185">
        <f t="shared" si="111"/>
        <v>0</v>
      </c>
      <c r="CZ150" s="185">
        <f t="shared" si="112"/>
        <v>0</v>
      </c>
      <c r="DA150" s="365"/>
      <c r="DB150" s="365"/>
      <c r="DC150" s="123">
        <f t="shared" si="113"/>
        <v>0</v>
      </c>
      <c r="DD150" s="123">
        <f t="shared" si="114"/>
        <v>0</v>
      </c>
      <c r="DE150" s="116">
        <f t="shared" si="115"/>
        <v>0</v>
      </c>
      <c r="DF150" s="115"/>
      <c r="DG150" s="115"/>
      <c r="DH150" s="115"/>
      <c r="DI150" s="365"/>
      <c r="DJ150" s="116">
        <f t="shared" si="116"/>
        <v>0</v>
      </c>
      <c r="DK150" s="365"/>
      <c r="DL150" s="123">
        <f t="shared" si="117"/>
        <v>0</v>
      </c>
      <c r="DM150" s="116">
        <f t="shared" si="118"/>
        <v>0</v>
      </c>
      <c r="DN150" s="218"/>
      <c r="DO150" s="116">
        <f t="shared" si="119"/>
        <v>0</v>
      </c>
      <c r="DP150" s="218"/>
      <c r="DQ150" s="116">
        <f t="shared" si="120"/>
        <v>0</v>
      </c>
      <c r="DR150" s="116">
        <f t="shared" si="121"/>
        <v>0</v>
      </c>
      <c r="DS150" s="218"/>
      <c r="DT150" s="116">
        <f t="shared" si="122"/>
        <v>0</v>
      </c>
      <c r="DU150" s="218"/>
      <c r="DV150" s="116">
        <f t="shared" si="123"/>
        <v>0</v>
      </c>
      <c r="DW150" s="116">
        <f t="shared" si="124"/>
        <v>0</v>
      </c>
      <c r="DX150" s="115"/>
      <c r="DY150" s="115"/>
      <c r="DZ150" s="115"/>
      <c r="EA150" s="115"/>
      <c r="EB150" s="115"/>
      <c r="EC150" s="365"/>
      <c r="ED150" s="116">
        <f t="shared" si="125"/>
        <v>0</v>
      </c>
      <c r="EE150" s="185">
        <f t="shared" si="126"/>
        <v>0</v>
      </c>
      <c r="EF150" s="185">
        <f t="shared" si="127"/>
        <v>0</v>
      </c>
      <c r="EG150" s="185">
        <f t="shared" si="128"/>
        <v>0</v>
      </c>
      <c r="EH150" s="185">
        <f t="shared" si="129"/>
        <v>0</v>
      </c>
      <c r="EI150" s="365"/>
      <c r="EJ150" s="365"/>
      <c r="EK150" s="123">
        <f t="shared" si="130"/>
        <v>0</v>
      </c>
      <c r="EL150" s="123">
        <f t="shared" si="131"/>
        <v>0</v>
      </c>
      <c r="EM150" s="116">
        <f t="shared" si="132"/>
        <v>0</v>
      </c>
      <c r="EN150" s="115"/>
      <c r="EO150" s="115"/>
      <c r="EP150" s="115"/>
      <c r="EQ150" s="365"/>
      <c r="ER150" s="116">
        <f t="shared" si="133"/>
        <v>0</v>
      </c>
      <c r="ES150" s="365"/>
      <c r="ET150" s="123">
        <f t="shared" si="134"/>
        <v>0</v>
      </c>
      <c r="EU150" s="116">
        <f t="shared" si="135"/>
        <v>0</v>
      </c>
      <c r="EV150" s="218"/>
      <c r="EW150" s="116">
        <f t="shared" si="136"/>
        <v>0</v>
      </c>
      <c r="EX150" s="218"/>
      <c r="EY150" s="116">
        <f t="shared" si="137"/>
        <v>0</v>
      </c>
      <c r="EZ150" s="116">
        <f t="shared" si="138"/>
        <v>0</v>
      </c>
      <c r="FA150" s="218"/>
      <c r="FB150" s="116">
        <f t="shared" si="139"/>
        <v>0</v>
      </c>
      <c r="FC150" s="218"/>
      <c r="FD150" s="116">
        <f t="shared" si="140"/>
        <v>0</v>
      </c>
      <c r="FE150" s="116">
        <f t="shared" si="141"/>
        <v>0</v>
      </c>
      <c r="FF150" s="115"/>
      <c r="FG150" s="115"/>
      <c r="FH150" s="115"/>
      <c r="FI150" s="115"/>
      <c r="FJ150" s="115"/>
      <c r="FK150" s="110">
        <f>$T132</f>
        <v>0</v>
      </c>
      <c r="FL150" s="118" t="str">
        <f>IF($G132="","ACTI","DELD")</f>
        <v>ACTI</v>
      </c>
      <c r="FM150" s="119" t="str">
        <f>$I132 &amp; "." &amp; $AA150 &amp; ".1"</f>
        <v>.15.1</v>
      </c>
      <c r="FN150" s="427"/>
      <c r="FO150" s="201"/>
      <c r="FP150" s="360"/>
      <c r="FQ150" s="360"/>
      <c r="FR150" s="360"/>
      <c r="FS150" s="204">
        <f t="shared" si="21"/>
        <v>0</v>
      </c>
      <c r="FT150" s="9"/>
      <c r="FU150" s="9"/>
      <c r="FV150" s="9"/>
      <c r="FW150" s="9"/>
      <c r="FX150" s="205"/>
      <c r="FY150" s="9"/>
      <c r="FZ150" s="206"/>
      <c r="GA150" s="46"/>
      <c r="GD150" s="192">
        <f>M132</f>
        <v>0</v>
      </c>
      <c r="GE150" s="192">
        <f>N132</f>
        <v>0</v>
      </c>
      <c r="GF150" s="193" t="str">
        <f>MID(Q132,1,50) &amp; LEN(Q132)</f>
        <v>0</v>
      </c>
      <c r="GG150" s="192" t="str">
        <f>IF(S132="производство комбинированная выработка","COGENERATION","HEATING")</f>
        <v>HEATING</v>
      </c>
      <c r="GH150" s="194" t="str">
        <f t="shared" si="22"/>
        <v>Прочие виды топлива :: ACTI</v>
      </c>
      <c r="GI150" s="194" t="str">
        <f t="shared" si="23"/>
        <v>0::0::0::HEATING::Прочие виды топлива :: ACTI</v>
      </c>
      <c r="GJ150" s="10"/>
      <c r="GK150" s="10"/>
      <c r="GL150" s="10"/>
      <c r="GM150" s="10"/>
    </row>
    <row r="151" spans="1:195" s="75" customFormat="1" ht="12" customHeight="1">
      <c r="F151" s="200"/>
      <c r="G151" s="406"/>
      <c r="H151" s="411"/>
      <c r="I151" s="412"/>
      <c r="J151" s="417"/>
      <c r="K151" s="417"/>
      <c r="L151" s="419"/>
      <c r="M151" s="418"/>
      <c r="N151" s="418"/>
      <c r="O151" s="418"/>
      <c r="P151" s="415"/>
      <c r="Q151" s="416"/>
      <c r="R151" s="426"/>
      <c r="S151" s="410"/>
      <c r="T151" s="432"/>
      <c r="U151" s="412"/>
      <c r="V151"/>
      <c r="W151"/>
      <c r="X151"/>
      <c r="Y151" s="425"/>
      <c r="Z151" s="286" t="s">
        <v>1706</v>
      </c>
      <c r="AA151" s="286" t="s">
        <v>1724</v>
      </c>
      <c r="AB151" s="265"/>
      <c r="AC151" s="265"/>
      <c r="AD151" s="265"/>
      <c r="AE151" s="265"/>
      <c r="AF151" s="265"/>
      <c r="AG151" s="265"/>
      <c r="AH151" s="265"/>
      <c r="AI151" s="265"/>
      <c r="AJ151" s="265"/>
      <c r="AK151" s="265"/>
      <c r="AL151" s="265"/>
      <c r="AM151" s="265"/>
      <c r="AN151" s="265"/>
      <c r="AO151" s="265"/>
      <c r="AP151" s="265"/>
      <c r="AQ151" s="265"/>
      <c r="AR151" s="265"/>
      <c r="AS151" s="265"/>
      <c r="AT151" s="265"/>
      <c r="AU151" s="265"/>
      <c r="AV151" s="265"/>
      <c r="AW151" s="265"/>
      <c r="AX151" s="265"/>
      <c r="AY151" s="265"/>
      <c r="AZ151" s="265"/>
      <c r="BA151" s="265"/>
      <c r="BB151" s="265"/>
      <c r="BC151" s="265"/>
      <c r="BD151" s="265"/>
      <c r="BE151" s="265"/>
      <c r="BF151" s="265"/>
      <c r="BG151" s="265"/>
      <c r="BH151" s="265"/>
      <c r="BI151" s="265"/>
      <c r="BJ151" s="265"/>
      <c r="BK151" s="265"/>
      <c r="BL151" s="265"/>
      <c r="BM151" s="265"/>
      <c r="BN151" s="265"/>
      <c r="BO151" s="265"/>
      <c r="BP151" s="265"/>
      <c r="BQ151" s="265"/>
      <c r="BR151" s="265"/>
      <c r="BS151" s="265"/>
      <c r="BT151" s="265"/>
      <c r="BU151" s="265"/>
      <c r="BV151" s="265"/>
      <c r="BW151" s="265"/>
      <c r="BX151" s="265"/>
      <c r="BY151" s="265"/>
      <c r="BZ151" s="265"/>
      <c r="CA151" s="265"/>
      <c r="CB151" s="265"/>
      <c r="CC151" s="265"/>
      <c r="CD151" s="265"/>
      <c r="CE151" s="265"/>
      <c r="CF151" s="265"/>
      <c r="CG151" s="265"/>
      <c r="CH151" s="265"/>
      <c r="CI151" s="265"/>
      <c r="CJ151" s="265"/>
      <c r="CK151" s="265"/>
      <c r="CL151" s="265"/>
      <c r="CM151" s="265"/>
      <c r="CN151" s="265"/>
      <c r="CO151" s="265"/>
      <c r="CP151" s="265"/>
      <c r="CQ151" s="265"/>
      <c r="CR151" s="265"/>
      <c r="CS151" s="265"/>
      <c r="CT151" s="265"/>
      <c r="CU151" s="265"/>
      <c r="CV151" s="265"/>
      <c r="CW151" s="265"/>
      <c r="CX151" s="265"/>
      <c r="CY151" s="265"/>
      <c r="CZ151" s="265"/>
      <c r="DA151" s="265"/>
      <c r="DB151" s="265"/>
      <c r="DC151" s="265"/>
      <c r="DD151" s="265"/>
      <c r="DE151" s="265"/>
      <c r="DF151" s="265"/>
      <c r="DG151" s="265"/>
      <c r="DH151" s="265"/>
      <c r="DI151" s="265"/>
      <c r="DJ151" s="265"/>
      <c r="DK151" s="265"/>
      <c r="DL151" s="265"/>
      <c r="DM151" s="265"/>
      <c r="DN151" s="265"/>
      <c r="DO151" s="265"/>
      <c r="DP151" s="265"/>
      <c r="DQ151" s="265"/>
      <c r="DR151" s="265"/>
      <c r="DS151" s="265"/>
      <c r="DT151" s="265"/>
      <c r="DU151" s="265"/>
      <c r="DV151" s="265"/>
      <c r="DW151" s="265"/>
      <c r="DX151" s="265"/>
      <c r="DY151" s="265"/>
      <c r="DZ151" s="265"/>
      <c r="EA151" s="265"/>
      <c r="EB151" s="265"/>
      <c r="EC151" s="265"/>
      <c r="ED151" s="265"/>
      <c r="EE151" s="265"/>
      <c r="EF151" s="265"/>
      <c r="EG151" s="265"/>
      <c r="EH151" s="265"/>
      <c r="EI151" s="265"/>
      <c r="EJ151" s="265"/>
      <c r="EK151" s="265"/>
      <c r="EL151" s="265"/>
      <c r="EM151" s="265"/>
      <c r="EN151" s="265"/>
      <c r="EO151" s="265"/>
      <c r="EP151" s="265"/>
      <c r="EQ151" s="265"/>
      <c r="ER151" s="265"/>
      <c r="ES151" s="265"/>
      <c r="ET151" s="265"/>
      <c r="EU151" s="265"/>
      <c r="EV151" s="265"/>
      <c r="EW151" s="265"/>
      <c r="EX151" s="265"/>
      <c r="EY151" s="265"/>
      <c r="EZ151" s="265"/>
      <c r="FA151" s="265"/>
      <c r="FB151" s="265"/>
      <c r="FC151" s="265"/>
      <c r="FD151" s="265"/>
      <c r="FE151" s="265"/>
      <c r="FF151" s="265"/>
      <c r="FG151" s="265"/>
      <c r="FH151" s="265"/>
      <c r="FI151" s="265"/>
      <c r="FJ151" s="265"/>
      <c r="FK151" s="265"/>
      <c r="FL151" s="265"/>
      <c r="FM151" s="265"/>
      <c r="FN151" s="427"/>
      <c r="FO151" s="268"/>
      <c r="FP151" s="265"/>
      <c r="FQ151" s="265"/>
      <c r="FR151" s="269"/>
      <c r="FS151" s="204"/>
      <c r="FT151" s="205"/>
      <c r="FU151" s="205"/>
      <c r="FV151" s="205"/>
      <c r="FW151" s="205"/>
      <c r="FX151" s="9"/>
      <c r="FY151" s="207"/>
      <c r="FZ151" s="208"/>
      <c r="GA151" s="46"/>
      <c r="GD151" s="268"/>
      <c r="GE151" s="265"/>
      <c r="GF151" s="265"/>
      <c r="GG151" s="265"/>
      <c r="GH151" s="265"/>
      <c r="GI151" s="269"/>
      <c r="GJ151" s="10"/>
      <c r="GK151" s="10"/>
      <c r="GL151" s="10"/>
      <c r="GM151" s="10"/>
    </row>
    <row r="152" spans="1:195">
      <c r="AD152" s="11"/>
    </row>
    <row r="153" spans="1:195" customFormat="1"/>
    <row r="154" spans="1:195" customFormat="1"/>
    <row r="155" spans="1:195" customFormat="1" ht="12" customHeight="1"/>
    <row r="156" spans="1:195" customFormat="1" ht="12" customHeight="1"/>
    <row r="157" spans="1:195" customFormat="1" ht="12" customHeight="1"/>
    <row r="158" spans="1:195" customFormat="1" ht="12" customHeight="1"/>
    <row r="159" spans="1:195" customFormat="1" ht="12" customHeight="1">
      <c r="A159" s="414" t="s">
        <v>1390</v>
      </c>
      <c r="B159" s="414"/>
      <c r="C159" s="414"/>
    </row>
    <row r="160" spans="1:195" s="1" customFormat="1" ht="11.25" customHeight="1">
      <c r="D160"/>
      <c r="E160"/>
      <c r="F160" s="200"/>
      <c r="G160" s="406"/>
      <c r="H160" s="411" t="s">
        <v>1703</v>
      </c>
      <c r="I160" s="412"/>
      <c r="J160" s="409"/>
      <c r="K160" s="407"/>
      <c r="L160" s="409"/>
      <c r="M160" s="410"/>
      <c r="N160" s="410"/>
      <c r="O160" s="410"/>
      <c r="P160" s="409"/>
      <c r="Q160" s="422"/>
      <c r="R160" s="409"/>
      <c r="S160" s="413"/>
      <c r="T160" s="409"/>
      <c r="U160" s="409"/>
      <c r="V160" s="409"/>
      <c r="W160" s="409"/>
      <c r="X160" s="409"/>
      <c r="Y160" s="409"/>
      <c r="Z160" s="286" t="s">
        <v>1706</v>
      </c>
      <c r="AA160" s="286" t="s">
        <v>1724</v>
      </c>
      <c r="AB160" s="268"/>
      <c r="AC160" s="265"/>
      <c r="AD160" s="265"/>
      <c r="AE160" s="265"/>
      <c r="AF160" s="265"/>
      <c r="AG160" s="265"/>
      <c r="AH160" s="265"/>
      <c r="AI160" s="265"/>
      <c r="AJ160" s="265"/>
      <c r="AK160" s="265"/>
      <c r="AL160" s="265"/>
      <c r="AM160" s="265"/>
      <c r="AN160" s="265"/>
      <c r="AO160" s="265"/>
      <c r="AP160" s="265"/>
      <c r="AQ160" s="265"/>
      <c r="AR160" s="265"/>
      <c r="AS160" s="265"/>
      <c r="AT160" s="265"/>
      <c r="AU160" s="265"/>
      <c r="AV160" s="265"/>
      <c r="AW160" s="265"/>
      <c r="AX160" s="265"/>
      <c r="AY160" s="265"/>
      <c r="AZ160" s="265"/>
      <c r="BA160" s="265"/>
      <c r="BB160" s="265"/>
      <c r="BC160" s="265"/>
      <c r="BD160" s="265"/>
      <c r="BE160" s="265"/>
      <c r="BF160" s="265"/>
      <c r="BG160" s="265"/>
      <c r="BH160" s="265"/>
      <c r="BI160" s="265"/>
      <c r="BJ160" s="269"/>
      <c r="BK160" s="202"/>
      <c r="BL160" s="202"/>
      <c r="BM160" s="202"/>
      <c r="BN160" s="202"/>
      <c r="BO160" s="202"/>
      <c r="BP160" s="202"/>
      <c r="BQ160" s="202"/>
      <c r="BR160" s="203"/>
      <c r="BS160" s="203"/>
      <c r="BT160" s="203"/>
      <c r="BU160" s="203"/>
      <c r="BV160" s="203"/>
      <c r="BW160" s="203"/>
      <c r="BX160" s="203"/>
      <c r="BY160" s="203"/>
      <c r="BZ160" s="203"/>
      <c r="CA160" s="203"/>
      <c r="CB160" s="203"/>
      <c r="CC160" s="203"/>
      <c r="CD160" s="203"/>
      <c r="CE160" s="203"/>
      <c r="CF160" s="203"/>
      <c r="CG160" s="203"/>
      <c r="CH160" s="203"/>
      <c r="CI160" s="203"/>
      <c r="CJ160" s="203"/>
      <c r="CK160" s="203"/>
      <c r="CL160" s="203"/>
      <c r="CM160" s="203"/>
      <c r="CN160" s="203"/>
      <c r="CO160" s="203"/>
      <c r="CP160" s="203"/>
      <c r="CQ160" s="203"/>
      <c r="CR160" s="203"/>
      <c r="CS160" s="203"/>
      <c r="CT160" s="203"/>
      <c r="CU160" s="203"/>
      <c r="CV160" s="203"/>
      <c r="CW160" s="203"/>
      <c r="CX160" s="203"/>
      <c r="CY160" s="203"/>
      <c r="CZ160" s="203"/>
      <c r="DA160" s="203"/>
      <c r="DB160" s="203"/>
      <c r="DC160" s="203"/>
      <c r="DD160" s="203"/>
      <c r="DE160" s="203"/>
      <c r="DF160" s="203"/>
      <c r="DG160" s="203"/>
      <c r="DH160" s="203"/>
      <c r="DI160" s="203"/>
      <c r="DJ160" s="203"/>
      <c r="DK160" s="203"/>
      <c r="DL160" s="203"/>
      <c r="DM160" s="203"/>
      <c r="DN160" s="203"/>
      <c r="DO160" s="203"/>
      <c r="DP160" s="203"/>
      <c r="DQ160" s="203"/>
      <c r="DR160" s="203"/>
      <c r="DS160" s="203"/>
      <c r="DT160" s="203"/>
      <c r="DU160" s="203"/>
      <c r="DV160" s="203"/>
      <c r="DW160" s="203"/>
      <c r="DX160" s="203"/>
      <c r="DY160" s="203"/>
      <c r="DZ160" s="203"/>
      <c r="EA160" s="203"/>
      <c r="EB160" s="203"/>
      <c r="EC160" s="203"/>
      <c r="ED160" s="203"/>
      <c r="EE160" s="203"/>
      <c r="EF160" s="203"/>
      <c r="EG160" s="203"/>
      <c r="EH160" s="203"/>
      <c r="EI160" s="203"/>
      <c r="EJ160" s="203"/>
      <c r="EK160" s="203"/>
      <c r="EL160" s="203"/>
      <c r="EM160" s="203"/>
      <c r="EN160" s="203"/>
      <c r="EO160" s="203"/>
      <c r="EP160" s="203"/>
      <c r="EQ160" s="203"/>
      <c r="ER160" s="203"/>
      <c r="ES160" s="203"/>
      <c r="ET160" s="203"/>
      <c r="EU160" s="203"/>
      <c r="EV160" s="203"/>
      <c r="EW160" s="203"/>
      <c r="EX160" s="203"/>
      <c r="EY160" s="203"/>
      <c r="EZ160" s="203"/>
      <c r="FA160" s="203"/>
      <c r="FB160" s="203"/>
      <c r="FC160" s="203"/>
      <c r="FD160" s="203"/>
      <c r="FE160" s="203"/>
      <c r="FF160" s="203"/>
      <c r="FG160" s="203"/>
      <c r="FH160" s="203"/>
      <c r="FI160" s="203"/>
      <c r="FJ160" s="203"/>
      <c r="FK160" s="203"/>
      <c r="FL160" s="203"/>
      <c r="FM160" s="203"/>
      <c r="FN160" s="203"/>
      <c r="FO160" s="203"/>
      <c r="FP160" s="203"/>
      <c r="FQ160" s="203"/>
      <c r="FR160" s="203"/>
      <c r="FS160" s="203"/>
      <c r="FT160" s="203"/>
      <c r="FU160" s="203"/>
      <c r="FV160" s="203"/>
      <c r="FW160" s="203"/>
      <c r="FX160" s="203"/>
      <c r="FY160" s="203"/>
      <c r="FZ160" s="203"/>
      <c r="GA160" s="19"/>
      <c r="GD160" s="268"/>
      <c r="GE160" s="265"/>
      <c r="GF160" s="265"/>
      <c r="GG160" s="265"/>
      <c r="GH160" s="265"/>
      <c r="GI160" s="269"/>
      <c r="GJ160" s="10"/>
      <c r="GK160" s="10"/>
      <c r="GL160" s="10"/>
      <c r="GM160" s="10"/>
    </row>
    <row r="161" spans="6:195" s="75" customFormat="1" ht="12" hidden="1" customHeight="1">
      <c r="F161" s="200"/>
      <c r="G161" s="406"/>
      <c r="H161" s="411"/>
      <c r="I161" s="412"/>
      <c r="J161" s="409"/>
      <c r="K161" s="407"/>
      <c r="L161" s="409"/>
      <c r="M161" s="410"/>
      <c r="N161" s="410"/>
      <c r="O161" s="410"/>
      <c r="P161" s="409"/>
      <c r="Q161" s="422"/>
      <c r="R161" s="409"/>
      <c r="S161" s="410"/>
      <c r="T161" s="409"/>
      <c r="U161" s="409"/>
      <c r="V161" s="409"/>
      <c r="W161" s="409"/>
      <c r="X161" s="409"/>
      <c r="Y161" s="409"/>
      <c r="Z161" s="112"/>
      <c r="AA161" s="424">
        <v>1</v>
      </c>
      <c r="AB161" s="413" t="s">
        <v>1524</v>
      </c>
      <c r="AC161" s="114" t="s">
        <v>1650</v>
      </c>
      <c r="AD161" s="191" t="str">
        <f t="shared" ref="AD161:AD178" si="142">AC161 &amp; " :: " &amp; BE161</f>
        <v>Газ лимитный :: ACTI</v>
      </c>
      <c r="AE161" s="218"/>
      <c r="AF161" s="218"/>
      <c r="AG161" s="116">
        <f>AK161-$AE161</f>
        <v>0</v>
      </c>
      <c r="AH161" s="116">
        <f>AL161-$AF161</f>
        <v>0</v>
      </c>
      <c r="AI161" s="115"/>
      <c r="AJ161" s="116">
        <f>AL161-$AF161</f>
        <v>0</v>
      </c>
      <c r="AK161" s="116">
        <f>SUMIF(Т!$GI$45:$GI$66,$GI161,Т!AK$45:AK$66)</f>
        <v>0</v>
      </c>
      <c r="AL161" s="116">
        <f>SUMIF(Т!$GI$45:$GI$66,$GI161,Т!AN$45:AN$66)</f>
        <v>0</v>
      </c>
      <c r="AM161" s="115"/>
      <c r="AN161" s="115"/>
      <c r="AO161" s="115"/>
      <c r="AP161" s="115"/>
      <c r="AQ161" s="115"/>
      <c r="AR161" s="115"/>
      <c r="AS161" s="115"/>
      <c r="AT161" s="115"/>
      <c r="AU161" s="115"/>
      <c r="AV161" s="115"/>
      <c r="AW161" s="115"/>
      <c r="AX161" s="115"/>
      <c r="AY161" s="115"/>
      <c r="AZ161" s="115"/>
      <c r="BA161" s="115"/>
      <c r="BB161" s="115"/>
      <c r="BC161" s="115"/>
      <c r="BD161" s="115"/>
      <c r="BE161" s="232" t="str">
        <f>IF($G160="","ACTI","DELD")</f>
        <v>ACTI</v>
      </c>
      <c r="BF161" s="119" t="str">
        <f>$I160 &amp; "." &amp; $AA161 &amp; ".1"</f>
        <v>.1.1</v>
      </c>
      <c r="BG161" s="115"/>
      <c r="BH161" s="115"/>
      <c r="BI161" s="115"/>
      <c r="BJ161" s="423"/>
      <c r="BK161" s="236">
        <f>SUM(AE161:BD161)</f>
        <v>0</v>
      </c>
      <c r="BL161" s="9"/>
      <c r="BM161" s="9"/>
      <c r="BN161" s="9"/>
      <c r="BO161" s="9"/>
      <c r="BP161" s="205"/>
      <c r="BQ161" s="9"/>
      <c r="BR161" s="206"/>
      <c r="BS161" s="206"/>
      <c r="BT161" s="206"/>
      <c r="BU161" s="206"/>
      <c r="BV161" s="206"/>
      <c r="BW161" s="206"/>
      <c r="BX161" s="206"/>
      <c r="BY161" s="206"/>
      <c r="BZ161" s="206"/>
      <c r="CA161" s="206"/>
      <c r="CB161" s="206"/>
      <c r="CC161" s="206"/>
      <c r="CD161" s="206"/>
      <c r="CE161" s="206"/>
      <c r="CF161" s="206"/>
      <c r="CG161" s="206"/>
      <c r="CH161" s="206"/>
      <c r="CI161" s="206"/>
      <c r="CJ161" s="206"/>
      <c r="CK161" s="206"/>
      <c r="CL161" s="206"/>
      <c r="CM161" s="206"/>
      <c r="CN161" s="206"/>
      <c r="CO161" s="206"/>
      <c r="CP161" s="206"/>
      <c r="CQ161" s="206"/>
      <c r="CR161" s="206"/>
      <c r="CS161" s="206"/>
      <c r="CT161" s="206"/>
      <c r="CU161" s="206"/>
      <c r="CV161" s="206"/>
      <c r="CW161" s="206"/>
      <c r="CX161" s="206"/>
      <c r="CY161" s="206"/>
      <c r="CZ161" s="206"/>
      <c r="DA161" s="206"/>
      <c r="DB161" s="206"/>
      <c r="DC161" s="206"/>
      <c r="DD161" s="206"/>
      <c r="DE161" s="206"/>
      <c r="DF161" s="206"/>
      <c r="DG161" s="206"/>
      <c r="DH161" s="206"/>
      <c r="DI161" s="206"/>
      <c r="DJ161" s="206"/>
      <c r="DK161" s="206"/>
      <c r="DL161" s="206"/>
      <c r="DM161" s="206"/>
      <c r="DN161" s="206"/>
      <c r="DO161" s="206"/>
      <c r="DP161" s="206"/>
      <c r="DQ161" s="206"/>
      <c r="DR161" s="206"/>
      <c r="DS161" s="206"/>
      <c r="DT161" s="206"/>
      <c r="DU161" s="206"/>
      <c r="DV161" s="206"/>
      <c r="DW161" s="206"/>
      <c r="DX161" s="206"/>
      <c r="DY161" s="206"/>
      <c r="DZ161" s="206"/>
      <c r="EA161" s="206"/>
      <c r="EB161" s="206"/>
      <c r="EC161" s="206"/>
      <c r="ED161" s="206"/>
      <c r="EE161" s="206"/>
      <c r="EF161" s="206"/>
      <c r="EG161" s="206"/>
      <c r="EH161" s="206"/>
      <c r="EI161" s="206"/>
      <c r="EJ161" s="206"/>
      <c r="EK161" s="206"/>
      <c r="EL161" s="206"/>
      <c r="EM161" s="206"/>
      <c r="EN161" s="206"/>
      <c r="EO161" s="206"/>
      <c r="EP161" s="206"/>
      <c r="EQ161" s="206"/>
      <c r="ER161" s="206"/>
      <c r="ES161" s="206"/>
      <c r="ET161" s="206"/>
      <c r="EU161" s="206"/>
      <c r="EV161" s="206"/>
      <c r="EW161" s="206"/>
      <c r="EX161" s="206"/>
      <c r="EY161" s="206"/>
      <c r="EZ161" s="206"/>
      <c r="FA161" s="206"/>
      <c r="FB161" s="206"/>
      <c r="FC161" s="206"/>
      <c r="FD161" s="206"/>
      <c r="FE161" s="206"/>
      <c r="FF161" s="206"/>
      <c r="FG161" s="206"/>
      <c r="FH161" s="206"/>
      <c r="FI161" s="206"/>
      <c r="FJ161" s="206"/>
      <c r="FK161" s="206"/>
      <c r="FL161" s="206"/>
      <c r="FM161" s="206"/>
      <c r="FN161" s="206"/>
      <c r="FO161" s="206"/>
      <c r="FP161" s="206"/>
      <c r="FQ161" s="206"/>
      <c r="FR161" s="206"/>
      <c r="FS161" s="206"/>
      <c r="FT161" s="206"/>
      <c r="FU161" s="206"/>
      <c r="FV161" s="206"/>
      <c r="FW161" s="206"/>
      <c r="FX161" s="206"/>
      <c r="FY161" s="206"/>
      <c r="FZ161" s="206"/>
      <c r="GA161" s="46"/>
      <c r="GD161" s="192">
        <f>M160</f>
        <v>0</v>
      </c>
      <c r="GE161" s="192">
        <f>N160</f>
        <v>0</v>
      </c>
      <c r="GF161" s="193" t="str">
        <f>MID(Q160,1,50) &amp; LEN(Q160)</f>
        <v>0</v>
      </c>
      <c r="GG161" s="193">
        <f>S160</f>
        <v>0</v>
      </c>
      <c r="GH161" s="194" t="str">
        <f>AD161</f>
        <v>Газ лимитный :: ACTI</v>
      </c>
      <c r="GI161" s="194" t="str">
        <f>GD161 &amp; "::" &amp; GE161 &amp; "::" &amp; GF161 &amp; "::" &amp; GG161 &amp; "::" &amp; GH161</f>
        <v>0::0::0::0::Газ лимитный :: ACTI</v>
      </c>
      <c r="GJ161" s="10"/>
      <c r="GK161" s="10"/>
      <c r="GL161" s="10"/>
      <c r="GM161" s="10"/>
    </row>
    <row r="162" spans="6:195" s="75" customFormat="1" ht="12" hidden="1" customHeight="1">
      <c r="F162" s="200"/>
      <c r="G162" s="406"/>
      <c r="H162" s="411"/>
      <c r="I162" s="412"/>
      <c r="J162" s="409"/>
      <c r="K162" s="407"/>
      <c r="L162" s="409"/>
      <c r="M162" s="410"/>
      <c r="N162" s="410"/>
      <c r="O162" s="410"/>
      <c r="P162" s="409"/>
      <c r="Q162" s="422"/>
      <c r="R162" s="409"/>
      <c r="S162" s="410"/>
      <c r="T162" s="409"/>
      <c r="U162" s="409"/>
      <c r="V162" s="409"/>
      <c r="W162" s="409"/>
      <c r="X162" s="409"/>
      <c r="Y162" s="409"/>
      <c r="Z162" s="112"/>
      <c r="AA162" s="424"/>
      <c r="AB162" s="421"/>
      <c r="AC162" s="114" t="s">
        <v>1651</v>
      </c>
      <c r="AD162" s="191" t="str">
        <f t="shared" si="142"/>
        <v>Газ сверхлимитный :: ACTI</v>
      </c>
      <c r="AE162" s="218"/>
      <c r="AF162" s="218"/>
      <c r="AG162" s="116">
        <f t="shared" ref="AG162:AG177" si="143">AK162-$AE162</f>
        <v>0</v>
      </c>
      <c r="AH162" s="116">
        <f t="shared" ref="AH162:AH178" si="144">AL162-$AF162</f>
        <v>0</v>
      </c>
      <c r="AI162" s="115"/>
      <c r="AJ162" s="116">
        <f t="shared" ref="AJ162:AJ178" si="145">AL162-$AF162</f>
        <v>0</v>
      </c>
      <c r="AK162" s="116">
        <f>SUMIF(Т!$GI$45:$GI$66,$GI162,Т!AK$45:AK$66)</f>
        <v>0</v>
      </c>
      <c r="AL162" s="116">
        <f>SUMIF(Т!$GI$45:$GI$66,$GI162,Т!AN$45:AN$66)</f>
        <v>0</v>
      </c>
      <c r="AM162" s="115"/>
      <c r="AN162" s="115"/>
      <c r="AO162" s="115"/>
      <c r="AP162" s="115"/>
      <c r="AQ162" s="115"/>
      <c r="AR162" s="115"/>
      <c r="AS162" s="115"/>
      <c r="AT162" s="115"/>
      <c r="AU162" s="115"/>
      <c r="AV162" s="115"/>
      <c r="AW162" s="115"/>
      <c r="AX162" s="115"/>
      <c r="AY162" s="115"/>
      <c r="AZ162" s="115"/>
      <c r="BA162" s="115"/>
      <c r="BB162" s="115"/>
      <c r="BC162" s="115"/>
      <c r="BD162" s="115"/>
      <c r="BE162" s="232" t="str">
        <f>IF($G160="","ACTI","DELD")</f>
        <v>ACTI</v>
      </c>
      <c r="BF162" s="119" t="str">
        <f>$I160 &amp; "." &amp; $AA161 &amp; ".2"</f>
        <v>.1.2</v>
      </c>
      <c r="BG162" s="115"/>
      <c r="BH162" s="115"/>
      <c r="BI162" s="115"/>
      <c r="BJ162" s="423"/>
      <c r="BK162" s="236">
        <f t="shared" ref="BK162:BK178" si="146">SUM(AE162:BD162)</f>
        <v>0</v>
      </c>
      <c r="BL162" s="9"/>
      <c r="BM162" s="9"/>
      <c r="BN162" s="9"/>
      <c r="BO162" s="9"/>
      <c r="BP162" s="205"/>
      <c r="BQ162" s="9"/>
      <c r="BR162" s="206"/>
      <c r="BS162" s="206"/>
      <c r="BT162" s="206"/>
      <c r="BU162" s="206"/>
      <c r="BV162" s="206"/>
      <c r="BW162" s="206"/>
      <c r="BX162" s="206"/>
      <c r="BY162" s="206"/>
      <c r="BZ162" s="206"/>
      <c r="CA162" s="206"/>
      <c r="CB162" s="206"/>
      <c r="CC162" s="206"/>
      <c r="CD162" s="206"/>
      <c r="CE162" s="206"/>
      <c r="CF162" s="206"/>
      <c r="CG162" s="206"/>
      <c r="CH162" s="206"/>
      <c r="CI162" s="206"/>
      <c r="CJ162" s="206"/>
      <c r="CK162" s="206"/>
      <c r="CL162" s="206"/>
      <c r="CM162" s="206"/>
      <c r="CN162" s="206"/>
      <c r="CO162" s="206"/>
      <c r="CP162" s="206"/>
      <c r="CQ162" s="206"/>
      <c r="CR162" s="206"/>
      <c r="CS162" s="206"/>
      <c r="CT162" s="206"/>
      <c r="CU162" s="206"/>
      <c r="CV162" s="206"/>
      <c r="CW162" s="206"/>
      <c r="CX162" s="206"/>
      <c r="CY162" s="206"/>
      <c r="CZ162" s="206"/>
      <c r="DA162" s="206"/>
      <c r="DB162" s="206"/>
      <c r="DC162" s="206"/>
      <c r="DD162" s="206"/>
      <c r="DE162" s="206"/>
      <c r="DF162" s="206"/>
      <c r="DG162" s="206"/>
      <c r="DH162" s="206"/>
      <c r="DI162" s="206"/>
      <c r="DJ162" s="206"/>
      <c r="DK162" s="206"/>
      <c r="DL162" s="206"/>
      <c r="DM162" s="206"/>
      <c r="DN162" s="206"/>
      <c r="DO162" s="206"/>
      <c r="DP162" s="206"/>
      <c r="DQ162" s="206"/>
      <c r="DR162" s="206"/>
      <c r="DS162" s="206"/>
      <c r="DT162" s="206"/>
      <c r="DU162" s="206"/>
      <c r="DV162" s="206"/>
      <c r="DW162" s="206"/>
      <c r="DX162" s="206"/>
      <c r="DY162" s="206"/>
      <c r="DZ162" s="206"/>
      <c r="EA162" s="206"/>
      <c r="EB162" s="206"/>
      <c r="EC162" s="206"/>
      <c r="ED162" s="206"/>
      <c r="EE162" s="206"/>
      <c r="EF162" s="206"/>
      <c r="EG162" s="206"/>
      <c r="EH162" s="206"/>
      <c r="EI162" s="206"/>
      <c r="EJ162" s="206"/>
      <c r="EK162" s="206"/>
      <c r="EL162" s="206"/>
      <c r="EM162" s="206"/>
      <c r="EN162" s="206"/>
      <c r="EO162" s="206"/>
      <c r="EP162" s="206"/>
      <c r="EQ162" s="206"/>
      <c r="ER162" s="206"/>
      <c r="ES162" s="206"/>
      <c r="ET162" s="206"/>
      <c r="EU162" s="206"/>
      <c r="EV162" s="206"/>
      <c r="EW162" s="206"/>
      <c r="EX162" s="206"/>
      <c r="EY162" s="206"/>
      <c r="EZ162" s="206"/>
      <c r="FA162" s="206"/>
      <c r="FB162" s="206"/>
      <c r="FC162" s="206"/>
      <c r="FD162" s="206"/>
      <c r="FE162" s="206"/>
      <c r="FF162" s="206"/>
      <c r="FG162" s="206"/>
      <c r="FH162" s="206"/>
      <c r="FI162" s="206"/>
      <c r="FJ162" s="206"/>
      <c r="FK162" s="206"/>
      <c r="FL162" s="206"/>
      <c r="FM162" s="206"/>
      <c r="FN162" s="206"/>
      <c r="FO162" s="206"/>
      <c r="FP162" s="206"/>
      <c r="FQ162" s="206"/>
      <c r="FR162" s="206"/>
      <c r="FS162" s="206"/>
      <c r="FT162" s="206"/>
      <c r="FU162" s="206"/>
      <c r="FV162" s="206"/>
      <c r="FW162" s="206"/>
      <c r="FX162" s="206"/>
      <c r="FY162" s="206"/>
      <c r="FZ162" s="206"/>
      <c r="GA162" s="46"/>
      <c r="GD162" s="192">
        <f>M160</f>
        <v>0</v>
      </c>
      <c r="GE162" s="192">
        <f>N160</f>
        <v>0</v>
      </c>
      <c r="GF162" s="193" t="str">
        <f>MID(Q160,1,50) &amp; LEN(Q160)</f>
        <v>0</v>
      </c>
      <c r="GG162" s="193">
        <f>S160</f>
        <v>0</v>
      </c>
      <c r="GH162" s="194" t="str">
        <f t="shared" ref="GH162:GH178" si="147">AD162</f>
        <v>Газ сверхлимитный :: ACTI</v>
      </c>
      <c r="GI162" s="194" t="str">
        <f t="shared" ref="GI162:GI178" si="148">GD162 &amp; "::" &amp; GE162 &amp; "::" &amp; GF162 &amp; "::" &amp; GG162 &amp; "::" &amp; GH162</f>
        <v>0::0::0::0::Газ сверхлимитный :: ACTI</v>
      </c>
      <c r="GJ162" s="10"/>
      <c r="GK162" s="10"/>
      <c r="GL162" s="10"/>
      <c r="GM162" s="10"/>
    </row>
    <row r="163" spans="6:195" s="75" customFormat="1" ht="12" hidden="1" customHeight="1">
      <c r="F163" s="200"/>
      <c r="G163" s="406"/>
      <c r="H163" s="411"/>
      <c r="I163" s="412"/>
      <c r="J163" s="409"/>
      <c r="K163" s="407"/>
      <c r="L163" s="409"/>
      <c r="M163" s="410"/>
      <c r="N163" s="410"/>
      <c r="O163" s="410"/>
      <c r="P163" s="409"/>
      <c r="Q163" s="422"/>
      <c r="R163" s="409"/>
      <c r="S163" s="410"/>
      <c r="T163" s="409"/>
      <c r="U163" s="409"/>
      <c r="V163" s="409"/>
      <c r="W163" s="409"/>
      <c r="X163" s="409"/>
      <c r="Y163" s="409"/>
      <c r="Z163" s="112"/>
      <c r="AA163" s="424"/>
      <c r="AB163" s="421"/>
      <c r="AC163" s="120" t="s">
        <v>1652</v>
      </c>
      <c r="AD163" s="191" t="str">
        <f t="shared" si="142"/>
        <v>Газ коммерческий :: ACTI</v>
      </c>
      <c r="AE163" s="218"/>
      <c r="AF163" s="218"/>
      <c r="AG163" s="116">
        <f t="shared" si="143"/>
        <v>0</v>
      </c>
      <c r="AH163" s="116">
        <f t="shared" si="144"/>
        <v>0</v>
      </c>
      <c r="AI163" s="115"/>
      <c r="AJ163" s="116">
        <f t="shared" si="145"/>
        <v>0</v>
      </c>
      <c r="AK163" s="116">
        <f>SUMIF(Т!$GI$45:$GI$66,$GI163,Т!AK$45:AK$66)</f>
        <v>0</v>
      </c>
      <c r="AL163" s="116">
        <f>SUMIF(Т!$GI$45:$GI$66,$GI163,Т!AN$45:AN$66)</f>
        <v>0</v>
      </c>
      <c r="AM163" s="115"/>
      <c r="AN163" s="115"/>
      <c r="AO163" s="115"/>
      <c r="AP163" s="115"/>
      <c r="AQ163" s="115"/>
      <c r="AR163" s="115"/>
      <c r="AS163" s="115"/>
      <c r="AT163" s="115"/>
      <c r="AU163" s="115"/>
      <c r="AV163" s="115"/>
      <c r="AW163" s="115"/>
      <c r="AX163" s="115"/>
      <c r="AY163" s="115"/>
      <c r="AZ163" s="115"/>
      <c r="BA163" s="115"/>
      <c r="BB163" s="115"/>
      <c r="BC163" s="115"/>
      <c r="BD163" s="115"/>
      <c r="BE163" s="232" t="str">
        <f>IF($G160="","ACTI","DELD")</f>
        <v>ACTI</v>
      </c>
      <c r="BF163" s="119" t="str">
        <f>$I160 &amp; "." &amp; $AA161 &amp; ".3"</f>
        <v>.1.3</v>
      </c>
      <c r="BG163" s="115"/>
      <c r="BH163" s="115"/>
      <c r="BI163" s="115"/>
      <c r="BJ163" s="423"/>
      <c r="BK163" s="236">
        <f t="shared" si="146"/>
        <v>0</v>
      </c>
      <c r="BL163" s="9"/>
      <c r="BM163" s="9"/>
      <c r="BN163" s="9"/>
      <c r="BO163" s="9"/>
      <c r="BP163" s="205"/>
      <c r="BQ163" s="9"/>
      <c r="BR163" s="206"/>
      <c r="BS163" s="206"/>
      <c r="BT163" s="206"/>
      <c r="BU163" s="206"/>
      <c r="BV163" s="206"/>
      <c r="BW163" s="206"/>
      <c r="BX163" s="206"/>
      <c r="BY163" s="206"/>
      <c r="BZ163" s="206"/>
      <c r="CA163" s="206"/>
      <c r="CB163" s="206"/>
      <c r="CC163" s="206"/>
      <c r="CD163" s="206"/>
      <c r="CE163" s="206"/>
      <c r="CF163" s="206"/>
      <c r="CG163" s="206"/>
      <c r="CH163" s="206"/>
      <c r="CI163" s="206"/>
      <c r="CJ163" s="206"/>
      <c r="CK163" s="206"/>
      <c r="CL163" s="206"/>
      <c r="CM163" s="206"/>
      <c r="CN163" s="206"/>
      <c r="CO163" s="206"/>
      <c r="CP163" s="206"/>
      <c r="CQ163" s="206"/>
      <c r="CR163" s="206"/>
      <c r="CS163" s="206"/>
      <c r="CT163" s="206"/>
      <c r="CU163" s="206"/>
      <c r="CV163" s="206"/>
      <c r="CW163" s="206"/>
      <c r="CX163" s="206"/>
      <c r="CY163" s="206"/>
      <c r="CZ163" s="206"/>
      <c r="DA163" s="206"/>
      <c r="DB163" s="206"/>
      <c r="DC163" s="206"/>
      <c r="DD163" s="206"/>
      <c r="DE163" s="206"/>
      <c r="DF163" s="206"/>
      <c r="DG163" s="206"/>
      <c r="DH163" s="206"/>
      <c r="DI163" s="206"/>
      <c r="DJ163" s="206"/>
      <c r="DK163" s="206"/>
      <c r="DL163" s="206"/>
      <c r="DM163" s="206"/>
      <c r="DN163" s="206"/>
      <c r="DO163" s="206"/>
      <c r="DP163" s="206"/>
      <c r="DQ163" s="206"/>
      <c r="DR163" s="206"/>
      <c r="DS163" s="206"/>
      <c r="DT163" s="206"/>
      <c r="DU163" s="206"/>
      <c r="DV163" s="206"/>
      <c r="DW163" s="206"/>
      <c r="DX163" s="206"/>
      <c r="DY163" s="206"/>
      <c r="DZ163" s="206"/>
      <c r="EA163" s="206"/>
      <c r="EB163" s="206"/>
      <c r="EC163" s="206"/>
      <c r="ED163" s="206"/>
      <c r="EE163" s="206"/>
      <c r="EF163" s="206"/>
      <c r="EG163" s="206"/>
      <c r="EH163" s="206"/>
      <c r="EI163" s="206"/>
      <c r="EJ163" s="206"/>
      <c r="EK163" s="206"/>
      <c r="EL163" s="206"/>
      <c r="EM163" s="206"/>
      <c r="EN163" s="206"/>
      <c r="EO163" s="206"/>
      <c r="EP163" s="206"/>
      <c r="EQ163" s="206"/>
      <c r="ER163" s="206"/>
      <c r="ES163" s="206"/>
      <c r="ET163" s="206"/>
      <c r="EU163" s="206"/>
      <c r="EV163" s="206"/>
      <c r="EW163" s="206"/>
      <c r="EX163" s="206"/>
      <c r="EY163" s="206"/>
      <c r="EZ163" s="206"/>
      <c r="FA163" s="206"/>
      <c r="FB163" s="206"/>
      <c r="FC163" s="206"/>
      <c r="FD163" s="206"/>
      <c r="FE163" s="206"/>
      <c r="FF163" s="206"/>
      <c r="FG163" s="206"/>
      <c r="FH163" s="206"/>
      <c r="FI163" s="206"/>
      <c r="FJ163" s="206"/>
      <c r="FK163" s="206"/>
      <c r="FL163" s="206"/>
      <c r="FM163" s="206"/>
      <c r="FN163" s="206"/>
      <c r="FO163" s="206"/>
      <c r="FP163" s="206"/>
      <c r="FQ163" s="206"/>
      <c r="FR163" s="206"/>
      <c r="FS163" s="206"/>
      <c r="FT163" s="206"/>
      <c r="FU163" s="206"/>
      <c r="FV163" s="206"/>
      <c r="FW163" s="206"/>
      <c r="FX163" s="206"/>
      <c r="FY163" s="206"/>
      <c r="FZ163" s="206"/>
      <c r="GA163" s="46"/>
      <c r="GD163" s="192">
        <f>M160</f>
        <v>0</v>
      </c>
      <c r="GE163" s="192">
        <f>N160</f>
        <v>0</v>
      </c>
      <c r="GF163" s="193" t="str">
        <f>MID(Q160,1,50) &amp; LEN(Q160)</f>
        <v>0</v>
      </c>
      <c r="GG163" s="193">
        <f>S160</f>
        <v>0</v>
      </c>
      <c r="GH163" s="194" t="str">
        <f t="shared" si="147"/>
        <v>Газ коммерческий :: ACTI</v>
      </c>
      <c r="GI163" s="194" t="str">
        <f t="shared" si="148"/>
        <v>0::0::0::0::Газ коммерческий :: ACTI</v>
      </c>
      <c r="GJ163" s="10"/>
      <c r="GK163" s="10"/>
      <c r="GL163" s="10"/>
      <c r="GM163" s="10"/>
    </row>
    <row r="164" spans="6:195" s="75" customFormat="1" ht="12" hidden="1" customHeight="1">
      <c r="F164" s="200"/>
      <c r="G164" s="406"/>
      <c r="H164" s="411"/>
      <c r="I164" s="412"/>
      <c r="J164" s="409"/>
      <c r="K164" s="407"/>
      <c r="L164" s="409"/>
      <c r="M164" s="410"/>
      <c r="N164" s="410"/>
      <c r="O164" s="410"/>
      <c r="P164" s="409"/>
      <c r="Q164" s="422"/>
      <c r="R164" s="409"/>
      <c r="S164" s="410"/>
      <c r="T164" s="409"/>
      <c r="U164" s="409"/>
      <c r="V164" s="409"/>
      <c r="W164" s="409"/>
      <c r="X164" s="409"/>
      <c r="Y164" s="409"/>
      <c r="Z164" s="112"/>
      <c r="AA164" s="111">
        <v>2</v>
      </c>
      <c r="AB164" s="113" t="s">
        <v>1741</v>
      </c>
      <c r="AC164" s="121" t="str">
        <f t="shared" ref="AC164:AC169" si="149">AB164</f>
        <v>Газовый конденсат</v>
      </c>
      <c r="AD164" s="191" t="str">
        <f t="shared" si="142"/>
        <v>Газовый конденсат :: ACTI</v>
      </c>
      <c r="AE164" s="218"/>
      <c r="AF164" s="218"/>
      <c r="AG164" s="116">
        <f t="shared" si="143"/>
        <v>0</v>
      </c>
      <c r="AH164" s="116">
        <f t="shared" si="144"/>
        <v>0</v>
      </c>
      <c r="AI164" s="115"/>
      <c r="AJ164" s="116">
        <f t="shared" si="145"/>
        <v>0</v>
      </c>
      <c r="AK164" s="116">
        <f>SUMIF(Т!$GI$45:$GI$66,$GI164,Т!AK$45:AK$66)</f>
        <v>0</v>
      </c>
      <c r="AL164" s="116">
        <f>SUMIF(Т!$GI$45:$GI$66,$GI164,Т!AN$45:AN$66)</f>
        <v>0</v>
      </c>
      <c r="AM164" s="115"/>
      <c r="AN164" s="115"/>
      <c r="AO164" s="115"/>
      <c r="AP164" s="115"/>
      <c r="AQ164" s="115"/>
      <c r="AR164" s="115"/>
      <c r="AS164" s="115"/>
      <c r="AT164" s="115"/>
      <c r="AU164" s="115"/>
      <c r="AV164" s="115"/>
      <c r="AW164" s="115"/>
      <c r="AX164" s="115"/>
      <c r="AY164" s="115"/>
      <c r="AZ164" s="115"/>
      <c r="BA164" s="115"/>
      <c r="BB164" s="115"/>
      <c r="BC164" s="115"/>
      <c r="BD164" s="115"/>
      <c r="BE164" s="232" t="str">
        <f>IF($G160="","ACTI","DELD")</f>
        <v>ACTI</v>
      </c>
      <c r="BF164" s="119" t="str">
        <f>$I160 &amp; "." &amp; $AA164 &amp; ".1"</f>
        <v>.2.1</v>
      </c>
      <c r="BG164" s="115"/>
      <c r="BH164" s="115"/>
      <c r="BI164" s="115"/>
      <c r="BJ164" s="201"/>
      <c r="BK164" s="236">
        <f t="shared" si="146"/>
        <v>0</v>
      </c>
      <c r="BL164" s="9"/>
      <c r="BM164" s="9"/>
      <c r="BN164" s="9"/>
      <c r="BO164" s="9"/>
      <c r="BP164" s="205"/>
      <c r="BQ164" s="9"/>
      <c r="BR164" s="206"/>
      <c r="BS164" s="206"/>
      <c r="BT164" s="206"/>
      <c r="BU164" s="206"/>
      <c r="BV164" s="206"/>
      <c r="BW164" s="206"/>
      <c r="BX164" s="206"/>
      <c r="BY164" s="206"/>
      <c r="BZ164" s="206"/>
      <c r="CA164" s="206"/>
      <c r="CB164" s="206"/>
      <c r="CC164" s="206"/>
      <c r="CD164" s="206"/>
      <c r="CE164" s="206"/>
      <c r="CF164" s="206"/>
      <c r="CG164" s="206"/>
      <c r="CH164" s="206"/>
      <c r="CI164" s="206"/>
      <c r="CJ164" s="206"/>
      <c r="CK164" s="206"/>
      <c r="CL164" s="206"/>
      <c r="CM164" s="206"/>
      <c r="CN164" s="206"/>
      <c r="CO164" s="206"/>
      <c r="CP164" s="206"/>
      <c r="CQ164" s="206"/>
      <c r="CR164" s="206"/>
      <c r="CS164" s="206"/>
      <c r="CT164" s="206"/>
      <c r="CU164" s="206"/>
      <c r="CV164" s="206"/>
      <c r="CW164" s="206"/>
      <c r="CX164" s="206"/>
      <c r="CY164" s="206"/>
      <c r="CZ164" s="206"/>
      <c r="DA164" s="206"/>
      <c r="DB164" s="206"/>
      <c r="DC164" s="206"/>
      <c r="DD164" s="206"/>
      <c r="DE164" s="206"/>
      <c r="DF164" s="206"/>
      <c r="DG164" s="206"/>
      <c r="DH164" s="206"/>
      <c r="DI164" s="206"/>
      <c r="DJ164" s="206"/>
      <c r="DK164" s="206"/>
      <c r="DL164" s="206"/>
      <c r="DM164" s="206"/>
      <c r="DN164" s="206"/>
      <c r="DO164" s="206"/>
      <c r="DP164" s="206"/>
      <c r="DQ164" s="206"/>
      <c r="DR164" s="206"/>
      <c r="DS164" s="206"/>
      <c r="DT164" s="206"/>
      <c r="DU164" s="206"/>
      <c r="DV164" s="206"/>
      <c r="DW164" s="206"/>
      <c r="DX164" s="206"/>
      <c r="DY164" s="206"/>
      <c r="DZ164" s="206"/>
      <c r="EA164" s="206"/>
      <c r="EB164" s="206"/>
      <c r="EC164" s="206"/>
      <c r="ED164" s="206"/>
      <c r="EE164" s="206"/>
      <c r="EF164" s="206"/>
      <c r="EG164" s="206"/>
      <c r="EH164" s="206"/>
      <c r="EI164" s="206"/>
      <c r="EJ164" s="206"/>
      <c r="EK164" s="206"/>
      <c r="EL164" s="206"/>
      <c r="EM164" s="206"/>
      <c r="EN164" s="206"/>
      <c r="EO164" s="206"/>
      <c r="EP164" s="206"/>
      <c r="EQ164" s="206"/>
      <c r="ER164" s="206"/>
      <c r="ES164" s="206"/>
      <c r="ET164" s="206"/>
      <c r="EU164" s="206"/>
      <c r="EV164" s="206"/>
      <c r="EW164" s="206"/>
      <c r="EX164" s="206"/>
      <c r="EY164" s="206"/>
      <c r="EZ164" s="206"/>
      <c r="FA164" s="206"/>
      <c r="FB164" s="206"/>
      <c r="FC164" s="206"/>
      <c r="FD164" s="206"/>
      <c r="FE164" s="206"/>
      <c r="FF164" s="206"/>
      <c r="FG164" s="206"/>
      <c r="FH164" s="206"/>
      <c r="FI164" s="206"/>
      <c r="FJ164" s="206"/>
      <c r="FK164" s="206"/>
      <c r="FL164" s="206"/>
      <c r="FM164" s="206"/>
      <c r="FN164" s="206"/>
      <c r="FO164" s="206"/>
      <c r="FP164" s="206"/>
      <c r="FQ164" s="206"/>
      <c r="FR164" s="206"/>
      <c r="FS164" s="206"/>
      <c r="FT164" s="206"/>
      <c r="FU164" s="206"/>
      <c r="FV164" s="206"/>
      <c r="FW164" s="206"/>
      <c r="FX164" s="206"/>
      <c r="FY164" s="206"/>
      <c r="FZ164" s="206"/>
      <c r="GA164" s="46"/>
      <c r="GD164" s="192">
        <f>M160</f>
        <v>0</v>
      </c>
      <c r="GE164" s="192">
        <f>N160</f>
        <v>0</v>
      </c>
      <c r="GF164" s="193" t="str">
        <f>MID(Q160,1,50) &amp; LEN(Q160)</f>
        <v>0</v>
      </c>
      <c r="GG164" s="193">
        <f>S160</f>
        <v>0</v>
      </c>
      <c r="GH164" s="194" t="str">
        <f t="shared" si="147"/>
        <v>Газовый конденсат :: ACTI</v>
      </c>
      <c r="GI164" s="194" t="str">
        <f t="shared" si="148"/>
        <v>0::0::0::0::Газовый конденсат :: ACTI</v>
      </c>
      <c r="GJ164" s="10"/>
      <c r="GK164" s="10"/>
      <c r="GL164" s="10"/>
      <c r="GM164" s="10"/>
    </row>
    <row r="165" spans="6:195" s="75" customFormat="1" ht="12" hidden="1" customHeight="1">
      <c r="F165" s="200"/>
      <c r="G165" s="406"/>
      <c r="H165" s="411"/>
      <c r="I165" s="412"/>
      <c r="J165" s="409"/>
      <c r="K165" s="407"/>
      <c r="L165" s="409"/>
      <c r="M165" s="410"/>
      <c r="N165" s="410"/>
      <c r="O165" s="410"/>
      <c r="P165" s="409"/>
      <c r="Q165" s="422"/>
      <c r="R165" s="409"/>
      <c r="S165" s="410"/>
      <c r="T165" s="409"/>
      <c r="U165" s="409"/>
      <c r="V165" s="409"/>
      <c r="W165" s="409"/>
      <c r="X165" s="409"/>
      <c r="Y165" s="409"/>
      <c r="Z165" s="112"/>
      <c r="AA165" s="111">
        <v>3</v>
      </c>
      <c r="AB165" s="113" t="s">
        <v>1525</v>
      </c>
      <c r="AC165" s="121" t="str">
        <f t="shared" si="149"/>
        <v>Газ сжиженный</v>
      </c>
      <c r="AD165" s="191" t="str">
        <f t="shared" si="142"/>
        <v>Газ сжиженный :: ACTI</v>
      </c>
      <c r="AE165" s="218"/>
      <c r="AF165" s="218"/>
      <c r="AG165" s="116">
        <f t="shared" si="143"/>
        <v>0</v>
      </c>
      <c r="AH165" s="116">
        <f t="shared" si="144"/>
        <v>0</v>
      </c>
      <c r="AI165" s="115"/>
      <c r="AJ165" s="116">
        <f t="shared" si="145"/>
        <v>0</v>
      </c>
      <c r="AK165" s="116">
        <f>SUMIF(Т!$GI$45:$GI$66,$GI165,Т!AK$45:AK$66)</f>
        <v>0</v>
      </c>
      <c r="AL165" s="116">
        <f>SUMIF(Т!$GI$45:$GI$66,$GI165,Т!AN$45:AN$66)</f>
        <v>0</v>
      </c>
      <c r="AM165" s="115"/>
      <c r="AN165" s="115"/>
      <c r="AO165" s="115"/>
      <c r="AP165" s="115"/>
      <c r="AQ165" s="115"/>
      <c r="AR165" s="115"/>
      <c r="AS165" s="115"/>
      <c r="AT165" s="115"/>
      <c r="AU165" s="115"/>
      <c r="AV165" s="115"/>
      <c r="AW165" s="115"/>
      <c r="AX165" s="115"/>
      <c r="AY165" s="115"/>
      <c r="AZ165" s="115"/>
      <c r="BA165" s="115"/>
      <c r="BB165" s="115"/>
      <c r="BC165" s="115"/>
      <c r="BD165" s="115"/>
      <c r="BE165" s="232" t="str">
        <f>IF($G160="","ACTI","DELD")</f>
        <v>ACTI</v>
      </c>
      <c r="BF165" s="119" t="str">
        <f>$I160 &amp; "." &amp; $AA165 &amp; ".1"</f>
        <v>.3.1</v>
      </c>
      <c r="BG165" s="115"/>
      <c r="BH165" s="115"/>
      <c r="BI165" s="115"/>
      <c r="BJ165" s="201"/>
      <c r="BK165" s="236">
        <f t="shared" si="146"/>
        <v>0</v>
      </c>
      <c r="BL165" s="9"/>
      <c r="BM165" s="9"/>
      <c r="BN165" s="9"/>
      <c r="BO165" s="9"/>
      <c r="BP165" s="205"/>
      <c r="BQ165" s="9"/>
      <c r="BR165" s="206"/>
      <c r="BS165" s="206"/>
      <c r="BT165" s="206"/>
      <c r="BU165" s="206"/>
      <c r="BV165" s="206"/>
      <c r="BW165" s="206"/>
      <c r="BX165" s="206"/>
      <c r="BY165" s="206"/>
      <c r="BZ165" s="206"/>
      <c r="CA165" s="206"/>
      <c r="CB165" s="206"/>
      <c r="CC165" s="206"/>
      <c r="CD165" s="206"/>
      <c r="CE165" s="206"/>
      <c r="CF165" s="206"/>
      <c r="CG165" s="206"/>
      <c r="CH165" s="206"/>
      <c r="CI165" s="206"/>
      <c r="CJ165" s="206"/>
      <c r="CK165" s="206"/>
      <c r="CL165" s="206"/>
      <c r="CM165" s="206"/>
      <c r="CN165" s="206"/>
      <c r="CO165" s="206"/>
      <c r="CP165" s="206"/>
      <c r="CQ165" s="206"/>
      <c r="CR165" s="206"/>
      <c r="CS165" s="206"/>
      <c r="CT165" s="206"/>
      <c r="CU165" s="206"/>
      <c r="CV165" s="206"/>
      <c r="CW165" s="206"/>
      <c r="CX165" s="206"/>
      <c r="CY165" s="206"/>
      <c r="CZ165" s="206"/>
      <c r="DA165" s="206"/>
      <c r="DB165" s="206"/>
      <c r="DC165" s="206"/>
      <c r="DD165" s="206"/>
      <c r="DE165" s="206"/>
      <c r="DF165" s="206"/>
      <c r="DG165" s="206"/>
      <c r="DH165" s="206"/>
      <c r="DI165" s="206"/>
      <c r="DJ165" s="206"/>
      <c r="DK165" s="206"/>
      <c r="DL165" s="206"/>
      <c r="DM165" s="206"/>
      <c r="DN165" s="206"/>
      <c r="DO165" s="206"/>
      <c r="DP165" s="206"/>
      <c r="DQ165" s="206"/>
      <c r="DR165" s="206"/>
      <c r="DS165" s="206"/>
      <c r="DT165" s="206"/>
      <c r="DU165" s="206"/>
      <c r="DV165" s="206"/>
      <c r="DW165" s="206"/>
      <c r="DX165" s="206"/>
      <c r="DY165" s="206"/>
      <c r="DZ165" s="206"/>
      <c r="EA165" s="206"/>
      <c r="EB165" s="206"/>
      <c r="EC165" s="206"/>
      <c r="ED165" s="206"/>
      <c r="EE165" s="206"/>
      <c r="EF165" s="206"/>
      <c r="EG165" s="206"/>
      <c r="EH165" s="206"/>
      <c r="EI165" s="206"/>
      <c r="EJ165" s="206"/>
      <c r="EK165" s="206"/>
      <c r="EL165" s="206"/>
      <c r="EM165" s="206"/>
      <c r="EN165" s="206"/>
      <c r="EO165" s="206"/>
      <c r="EP165" s="206"/>
      <c r="EQ165" s="206"/>
      <c r="ER165" s="206"/>
      <c r="ES165" s="206"/>
      <c r="ET165" s="206"/>
      <c r="EU165" s="206"/>
      <c r="EV165" s="206"/>
      <c r="EW165" s="206"/>
      <c r="EX165" s="206"/>
      <c r="EY165" s="206"/>
      <c r="EZ165" s="206"/>
      <c r="FA165" s="206"/>
      <c r="FB165" s="206"/>
      <c r="FC165" s="206"/>
      <c r="FD165" s="206"/>
      <c r="FE165" s="206"/>
      <c r="FF165" s="206"/>
      <c r="FG165" s="206"/>
      <c r="FH165" s="206"/>
      <c r="FI165" s="206"/>
      <c r="FJ165" s="206"/>
      <c r="FK165" s="206"/>
      <c r="FL165" s="206"/>
      <c r="FM165" s="206"/>
      <c r="FN165" s="206"/>
      <c r="FO165" s="206"/>
      <c r="FP165" s="206"/>
      <c r="FQ165" s="206"/>
      <c r="FR165" s="206"/>
      <c r="FS165" s="206"/>
      <c r="FT165" s="206"/>
      <c r="FU165" s="206"/>
      <c r="FV165" s="206"/>
      <c r="FW165" s="206"/>
      <c r="FX165" s="206"/>
      <c r="FY165" s="206"/>
      <c r="FZ165" s="206"/>
      <c r="GA165" s="46"/>
      <c r="GD165" s="192">
        <f>M160</f>
        <v>0</v>
      </c>
      <c r="GE165" s="192">
        <f>N160</f>
        <v>0</v>
      </c>
      <c r="GF165" s="193" t="str">
        <f>MID(Q160,1,50) &amp; LEN(Q160)</f>
        <v>0</v>
      </c>
      <c r="GG165" s="193">
        <f>S160</f>
        <v>0</v>
      </c>
      <c r="GH165" s="194" t="str">
        <f t="shared" si="147"/>
        <v>Газ сжиженный :: ACTI</v>
      </c>
      <c r="GI165" s="194" t="str">
        <f t="shared" si="148"/>
        <v>0::0::0::0::Газ сжиженный :: ACTI</v>
      </c>
      <c r="GJ165" s="10"/>
      <c r="GK165" s="10"/>
      <c r="GL165" s="10"/>
      <c r="GM165" s="10"/>
    </row>
    <row r="166" spans="6:195" s="75" customFormat="1" ht="12" hidden="1" customHeight="1">
      <c r="F166" s="200"/>
      <c r="G166" s="406"/>
      <c r="H166" s="411"/>
      <c r="I166" s="412"/>
      <c r="J166" s="409"/>
      <c r="K166" s="407"/>
      <c r="L166" s="409"/>
      <c r="M166" s="410"/>
      <c r="N166" s="410"/>
      <c r="O166" s="410"/>
      <c r="P166" s="409"/>
      <c r="Q166" s="422"/>
      <c r="R166" s="409"/>
      <c r="S166" s="410"/>
      <c r="T166" s="409"/>
      <c r="U166" s="409"/>
      <c r="V166" s="409"/>
      <c r="W166" s="409"/>
      <c r="X166" s="409"/>
      <c r="Y166" s="409"/>
      <c r="Z166" s="112"/>
      <c r="AA166" s="111">
        <v>4</v>
      </c>
      <c r="AB166" s="113" t="s">
        <v>1580</v>
      </c>
      <c r="AC166" s="121" t="str">
        <f t="shared" si="149"/>
        <v>Дизельное топливо</v>
      </c>
      <c r="AD166" s="191" t="str">
        <f t="shared" si="142"/>
        <v>Дизельное топливо :: ACTI</v>
      </c>
      <c r="AE166" s="218"/>
      <c r="AF166" s="218"/>
      <c r="AG166" s="116">
        <f t="shared" si="143"/>
        <v>0</v>
      </c>
      <c r="AH166" s="116">
        <f t="shared" si="144"/>
        <v>0</v>
      </c>
      <c r="AI166" s="115"/>
      <c r="AJ166" s="116">
        <f t="shared" si="145"/>
        <v>0</v>
      </c>
      <c r="AK166" s="116">
        <f>SUMIF(Т!$GI$45:$GI$66,$GI166,Т!AK$45:AK$66)</f>
        <v>0</v>
      </c>
      <c r="AL166" s="116">
        <f>SUMIF(Т!$GI$45:$GI$66,$GI166,Т!AN$45:AN$66)</f>
        <v>0</v>
      </c>
      <c r="AM166" s="115"/>
      <c r="AN166" s="115"/>
      <c r="AO166" s="115"/>
      <c r="AP166" s="115"/>
      <c r="AQ166" s="115"/>
      <c r="AR166" s="115"/>
      <c r="AS166" s="115"/>
      <c r="AT166" s="115"/>
      <c r="AU166" s="115"/>
      <c r="AV166" s="115"/>
      <c r="AW166" s="115"/>
      <c r="AX166" s="115"/>
      <c r="AY166" s="115"/>
      <c r="AZ166" s="115"/>
      <c r="BA166" s="115"/>
      <c r="BB166" s="115"/>
      <c r="BC166" s="115"/>
      <c r="BD166" s="115"/>
      <c r="BE166" s="232" t="str">
        <f>IF($G160="","ACTI","DELD")</f>
        <v>ACTI</v>
      </c>
      <c r="BF166" s="119" t="str">
        <f>$I160 &amp; "." &amp; $AA166 &amp; ".1"</f>
        <v>.4.1</v>
      </c>
      <c r="BG166" s="115"/>
      <c r="BH166" s="115"/>
      <c r="BI166" s="115"/>
      <c r="BJ166" s="201"/>
      <c r="BK166" s="236">
        <f t="shared" si="146"/>
        <v>0</v>
      </c>
      <c r="BL166" s="9"/>
      <c r="BM166" s="9"/>
      <c r="BN166" s="9"/>
      <c r="BO166" s="9"/>
      <c r="BP166" s="205"/>
      <c r="BQ166" s="9"/>
      <c r="BR166" s="206"/>
      <c r="BS166" s="206"/>
      <c r="BT166" s="206"/>
      <c r="BU166" s="206"/>
      <c r="BV166" s="206"/>
      <c r="BW166" s="206"/>
      <c r="BX166" s="206"/>
      <c r="BY166" s="206"/>
      <c r="BZ166" s="206"/>
      <c r="CA166" s="206"/>
      <c r="CB166" s="206"/>
      <c r="CC166" s="206"/>
      <c r="CD166" s="206"/>
      <c r="CE166" s="206"/>
      <c r="CF166" s="206"/>
      <c r="CG166" s="206"/>
      <c r="CH166" s="206"/>
      <c r="CI166" s="206"/>
      <c r="CJ166" s="206"/>
      <c r="CK166" s="206"/>
      <c r="CL166" s="206"/>
      <c r="CM166" s="206"/>
      <c r="CN166" s="206"/>
      <c r="CO166" s="206"/>
      <c r="CP166" s="206"/>
      <c r="CQ166" s="206"/>
      <c r="CR166" s="206"/>
      <c r="CS166" s="206"/>
      <c r="CT166" s="206"/>
      <c r="CU166" s="206"/>
      <c r="CV166" s="206"/>
      <c r="CW166" s="206"/>
      <c r="CX166" s="206"/>
      <c r="CY166" s="206"/>
      <c r="CZ166" s="206"/>
      <c r="DA166" s="206"/>
      <c r="DB166" s="206"/>
      <c r="DC166" s="206"/>
      <c r="DD166" s="206"/>
      <c r="DE166" s="206"/>
      <c r="DF166" s="206"/>
      <c r="DG166" s="206"/>
      <c r="DH166" s="206"/>
      <c r="DI166" s="206"/>
      <c r="DJ166" s="206"/>
      <c r="DK166" s="206"/>
      <c r="DL166" s="206"/>
      <c r="DM166" s="206"/>
      <c r="DN166" s="206"/>
      <c r="DO166" s="206"/>
      <c r="DP166" s="206"/>
      <c r="DQ166" s="206"/>
      <c r="DR166" s="206"/>
      <c r="DS166" s="206"/>
      <c r="DT166" s="206"/>
      <c r="DU166" s="206"/>
      <c r="DV166" s="206"/>
      <c r="DW166" s="206"/>
      <c r="DX166" s="206"/>
      <c r="DY166" s="206"/>
      <c r="DZ166" s="206"/>
      <c r="EA166" s="206"/>
      <c r="EB166" s="206"/>
      <c r="EC166" s="206"/>
      <c r="ED166" s="206"/>
      <c r="EE166" s="206"/>
      <c r="EF166" s="206"/>
      <c r="EG166" s="206"/>
      <c r="EH166" s="206"/>
      <c r="EI166" s="206"/>
      <c r="EJ166" s="206"/>
      <c r="EK166" s="206"/>
      <c r="EL166" s="206"/>
      <c r="EM166" s="206"/>
      <c r="EN166" s="206"/>
      <c r="EO166" s="206"/>
      <c r="EP166" s="206"/>
      <c r="EQ166" s="206"/>
      <c r="ER166" s="206"/>
      <c r="ES166" s="206"/>
      <c r="ET166" s="206"/>
      <c r="EU166" s="206"/>
      <c r="EV166" s="206"/>
      <c r="EW166" s="206"/>
      <c r="EX166" s="206"/>
      <c r="EY166" s="206"/>
      <c r="EZ166" s="206"/>
      <c r="FA166" s="206"/>
      <c r="FB166" s="206"/>
      <c r="FC166" s="206"/>
      <c r="FD166" s="206"/>
      <c r="FE166" s="206"/>
      <c r="FF166" s="206"/>
      <c r="FG166" s="206"/>
      <c r="FH166" s="206"/>
      <c r="FI166" s="206"/>
      <c r="FJ166" s="206"/>
      <c r="FK166" s="206"/>
      <c r="FL166" s="206"/>
      <c r="FM166" s="206"/>
      <c r="FN166" s="206"/>
      <c r="FO166" s="206"/>
      <c r="FP166" s="206"/>
      <c r="FQ166" s="206"/>
      <c r="FR166" s="206"/>
      <c r="FS166" s="206"/>
      <c r="FT166" s="206"/>
      <c r="FU166" s="206"/>
      <c r="FV166" s="206"/>
      <c r="FW166" s="206"/>
      <c r="FX166" s="206"/>
      <c r="FY166" s="206"/>
      <c r="FZ166" s="206"/>
      <c r="GA166" s="46"/>
      <c r="GD166" s="192">
        <f>M160</f>
        <v>0</v>
      </c>
      <c r="GE166" s="192">
        <f>N160</f>
        <v>0</v>
      </c>
      <c r="GF166" s="193" t="str">
        <f>MID(Q160,1,50) &amp; LEN(Q160)</f>
        <v>0</v>
      </c>
      <c r="GG166" s="193">
        <f>S160</f>
        <v>0</v>
      </c>
      <c r="GH166" s="194" t="str">
        <f t="shared" si="147"/>
        <v>Дизельное топливо :: ACTI</v>
      </c>
      <c r="GI166" s="194" t="str">
        <f t="shared" si="148"/>
        <v>0::0::0::0::Дизельное топливо :: ACTI</v>
      </c>
      <c r="GJ166" s="10"/>
      <c r="GK166" s="10"/>
      <c r="GL166" s="10"/>
      <c r="GM166" s="10"/>
    </row>
    <row r="167" spans="6:195" s="75" customFormat="1" ht="12" hidden="1" customHeight="1">
      <c r="F167" s="200"/>
      <c r="G167" s="406"/>
      <c r="H167" s="411"/>
      <c r="I167" s="412"/>
      <c r="J167" s="409"/>
      <c r="K167" s="407"/>
      <c r="L167" s="409"/>
      <c r="M167" s="410"/>
      <c r="N167" s="410"/>
      <c r="O167" s="410"/>
      <c r="P167" s="409"/>
      <c r="Q167" s="422"/>
      <c r="R167" s="409"/>
      <c r="S167" s="410"/>
      <c r="T167" s="409"/>
      <c r="U167" s="409"/>
      <c r="V167" s="409"/>
      <c r="W167" s="409"/>
      <c r="X167" s="409"/>
      <c r="Y167" s="409"/>
      <c r="Z167" s="112"/>
      <c r="AA167" s="111">
        <v>5</v>
      </c>
      <c r="AB167" s="113" t="s">
        <v>1579</v>
      </c>
      <c r="AC167" s="121" t="str">
        <f t="shared" si="149"/>
        <v>Мазут</v>
      </c>
      <c r="AD167" s="191" t="str">
        <f t="shared" si="142"/>
        <v>Мазут :: ACTI</v>
      </c>
      <c r="AE167" s="218"/>
      <c r="AF167" s="218"/>
      <c r="AG167" s="116">
        <f t="shared" si="143"/>
        <v>0</v>
      </c>
      <c r="AH167" s="116">
        <f t="shared" si="144"/>
        <v>0</v>
      </c>
      <c r="AI167" s="115"/>
      <c r="AJ167" s="116">
        <f t="shared" si="145"/>
        <v>0</v>
      </c>
      <c r="AK167" s="116">
        <f>SUMIF(Т!$GI$45:$GI$66,$GI167,Т!AK$45:AK$66)</f>
        <v>0</v>
      </c>
      <c r="AL167" s="116">
        <f>SUMIF(Т!$GI$45:$GI$66,$GI167,Т!AN$45:AN$66)</f>
        <v>0</v>
      </c>
      <c r="AM167" s="115"/>
      <c r="AN167" s="115"/>
      <c r="AO167" s="115"/>
      <c r="AP167" s="115"/>
      <c r="AQ167" s="115"/>
      <c r="AR167" s="115"/>
      <c r="AS167" s="115"/>
      <c r="AT167" s="115"/>
      <c r="AU167" s="115"/>
      <c r="AV167" s="115"/>
      <c r="AW167" s="115"/>
      <c r="AX167" s="115"/>
      <c r="AY167" s="115"/>
      <c r="AZ167" s="115"/>
      <c r="BA167" s="115"/>
      <c r="BB167" s="115"/>
      <c r="BC167" s="115"/>
      <c r="BD167" s="115"/>
      <c r="BE167" s="232" t="str">
        <f>IF($G160="","ACTI","DELD")</f>
        <v>ACTI</v>
      </c>
      <c r="BF167" s="119" t="str">
        <f>$I160 &amp; "." &amp; $AA167 &amp; ".1"</f>
        <v>.5.1</v>
      </c>
      <c r="BG167" s="115"/>
      <c r="BH167" s="115"/>
      <c r="BI167" s="115"/>
      <c r="BJ167" s="201"/>
      <c r="BK167" s="236">
        <f t="shared" si="146"/>
        <v>0</v>
      </c>
      <c r="BL167" s="9"/>
      <c r="BM167" s="9"/>
      <c r="BN167" s="9"/>
      <c r="BO167" s="9"/>
      <c r="BP167" s="205"/>
      <c r="BQ167" s="9"/>
      <c r="BR167" s="206"/>
      <c r="BS167" s="206"/>
      <c r="BT167" s="206"/>
      <c r="BU167" s="206"/>
      <c r="BV167" s="206"/>
      <c r="BW167" s="206"/>
      <c r="BX167" s="206"/>
      <c r="BY167" s="206"/>
      <c r="BZ167" s="206"/>
      <c r="CA167" s="206"/>
      <c r="CB167" s="206"/>
      <c r="CC167" s="206"/>
      <c r="CD167" s="206"/>
      <c r="CE167" s="206"/>
      <c r="CF167" s="206"/>
      <c r="CG167" s="206"/>
      <c r="CH167" s="206"/>
      <c r="CI167" s="206"/>
      <c r="CJ167" s="206"/>
      <c r="CK167" s="206"/>
      <c r="CL167" s="206"/>
      <c r="CM167" s="206"/>
      <c r="CN167" s="206"/>
      <c r="CO167" s="206"/>
      <c r="CP167" s="206"/>
      <c r="CQ167" s="206"/>
      <c r="CR167" s="206"/>
      <c r="CS167" s="206"/>
      <c r="CT167" s="206"/>
      <c r="CU167" s="206"/>
      <c r="CV167" s="206"/>
      <c r="CW167" s="206"/>
      <c r="CX167" s="206"/>
      <c r="CY167" s="206"/>
      <c r="CZ167" s="206"/>
      <c r="DA167" s="206"/>
      <c r="DB167" s="206"/>
      <c r="DC167" s="206"/>
      <c r="DD167" s="206"/>
      <c r="DE167" s="206"/>
      <c r="DF167" s="206"/>
      <c r="DG167" s="206"/>
      <c r="DH167" s="206"/>
      <c r="DI167" s="206"/>
      <c r="DJ167" s="206"/>
      <c r="DK167" s="206"/>
      <c r="DL167" s="206"/>
      <c r="DM167" s="206"/>
      <c r="DN167" s="206"/>
      <c r="DO167" s="206"/>
      <c r="DP167" s="206"/>
      <c r="DQ167" s="206"/>
      <c r="DR167" s="206"/>
      <c r="DS167" s="206"/>
      <c r="DT167" s="206"/>
      <c r="DU167" s="206"/>
      <c r="DV167" s="206"/>
      <c r="DW167" s="206"/>
      <c r="DX167" s="206"/>
      <c r="DY167" s="206"/>
      <c r="DZ167" s="206"/>
      <c r="EA167" s="206"/>
      <c r="EB167" s="206"/>
      <c r="EC167" s="206"/>
      <c r="ED167" s="206"/>
      <c r="EE167" s="206"/>
      <c r="EF167" s="206"/>
      <c r="EG167" s="206"/>
      <c r="EH167" s="206"/>
      <c r="EI167" s="206"/>
      <c r="EJ167" s="206"/>
      <c r="EK167" s="206"/>
      <c r="EL167" s="206"/>
      <c r="EM167" s="206"/>
      <c r="EN167" s="206"/>
      <c r="EO167" s="206"/>
      <c r="EP167" s="206"/>
      <c r="EQ167" s="206"/>
      <c r="ER167" s="206"/>
      <c r="ES167" s="206"/>
      <c r="ET167" s="206"/>
      <c r="EU167" s="206"/>
      <c r="EV167" s="206"/>
      <c r="EW167" s="206"/>
      <c r="EX167" s="206"/>
      <c r="EY167" s="206"/>
      <c r="EZ167" s="206"/>
      <c r="FA167" s="206"/>
      <c r="FB167" s="206"/>
      <c r="FC167" s="206"/>
      <c r="FD167" s="206"/>
      <c r="FE167" s="206"/>
      <c r="FF167" s="206"/>
      <c r="FG167" s="206"/>
      <c r="FH167" s="206"/>
      <c r="FI167" s="206"/>
      <c r="FJ167" s="206"/>
      <c r="FK167" s="206"/>
      <c r="FL167" s="206"/>
      <c r="FM167" s="206"/>
      <c r="FN167" s="206"/>
      <c r="FO167" s="206"/>
      <c r="FP167" s="206"/>
      <c r="FQ167" s="206"/>
      <c r="FR167" s="206"/>
      <c r="FS167" s="206"/>
      <c r="FT167" s="206"/>
      <c r="FU167" s="206"/>
      <c r="FV167" s="206"/>
      <c r="FW167" s="206"/>
      <c r="FX167" s="206"/>
      <c r="FY167" s="206"/>
      <c r="FZ167" s="206"/>
      <c r="GA167" s="46"/>
      <c r="GD167" s="192">
        <f>M160</f>
        <v>0</v>
      </c>
      <c r="GE167" s="192">
        <f>N160</f>
        <v>0</v>
      </c>
      <c r="GF167" s="193" t="str">
        <f>MID(Q160,1,50) &amp; LEN(Q160)</f>
        <v>0</v>
      </c>
      <c r="GG167" s="193">
        <f>S160</f>
        <v>0</v>
      </c>
      <c r="GH167" s="194" t="str">
        <f t="shared" si="147"/>
        <v>Мазут :: ACTI</v>
      </c>
      <c r="GI167" s="194" t="str">
        <f t="shared" si="148"/>
        <v>0::0::0::0::Мазут :: ACTI</v>
      </c>
      <c r="GJ167" s="10"/>
      <c r="GK167" s="10"/>
      <c r="GL167" s="10"/>
      <c r="GM167" s="10"/>
    </row>
    <row r="168" spans="6:195" s="75" customFormat="1" ht="12" hidden="1" customHeight="1">
      <c r="F168" s="200"/>
      <c r="G168" s="406"/>
      <c r="H168" s="411"/>
      <c r="I168" s="412"/>
      <c r="J168" s="409"/>
      <c r="K168" s="407"/>
      <c r="L168" s="409"/>
      <c r="M168" s="410"/>
      <c r="N168" s="410"/>
      <c r="O168" s="410"/>
      <c r="P168" s="409"/>
      <c r="Q168" s="422"/>
      <c r="R168" s="409"/>
      <c r="S168" s="410"/>
      <c r="T168" s="409"/>
      <c r="U168" s="409"/>
      <c r="V168" s="409"/>
      <c r="W168" s="409"/>
      <c r="X168" s="409"/>
      <c r="Y168" s="409"/>
      <c r="Z168" s="112"/>
      <c r="AA168" s="111">
        <v>6</v>
      </c>
      <c r="AB168" s="113" t="s">
        <v>1620</v>
      </c>
      <c r="AC168" s="121" t="str">
        <f t="shared" si="149"/>
        <v>Нефть</v>
      </c>
      <c r="AD168" s="191" t="str">
        <f t="shared" si="142"/>
        <v>Нефть :: ACTI</v>
      </c>
      <c r="AE168" s="218"/>
      <c r="AF168" s="218"/>
      <c r="AG168" s="116">
        <f t="shared" si="143"/>
        <v>0</v>
      </c>
      <c r="AH168" s="116">
        <f t="shared" si="144"/>
        <v>0</v>
      </c>
      <c r="AI168" s="115"/>
      <c r="AJ168" s="116">
        <f t="shared" si="145"/>
        <v>0</v>
      </c>
      <c r="AK168" s="116">
        <f>SUMIF(Т!$GI$45:$GI$66,$GI168,Т!AK$45:AK$66)</f>
        <v>0</v>
      </c>
      <c r="AL168" s="116">
        <f>SUMIF(Т!$GI$45:$GI$66,$GI168,Т!AN$45:AN$66)</f>
        <v>0</v>
      </c>
      <c r="AM168" s="115"/>
      <c r="AN168" s="115"/>
      <c r="AO168" s="115"/>
      <c r="AP168" s="115"/>
      <c r="AQ168" s="115"/>
      <c r="AR168" s="115"/>
      <c r="AS168" s="115"/>
      <c r="AT168" s="115"/>
      <c r="AU168" s="115"/>
      <c r="AV168" s="115"/>
      <c r="AW168" s="115"/>
      <c r="AX168" s="115"/>
      <c r="AY168" s="115"/>
      <c r="AZ168" s="115"/>
      <c r="BA168" s="115"/>
      <c r="BB168" s="115"/>
      <c r="BC168" s="115"/>
      <c r="BD168" s="115"/>
      <c r="BE168" s="232" t="str">
        <f>IF($G160="","ACTI","DELD")</f>
        <v>ACTI</v>
      </c>
      <c r="BF168" s="119" t="str">
        <f>$I160 &amp; "." &amp; $AA168 &amp; ".1"</f>
        <v>.6.1</v>
      </c>
      <c r="BG168" s="115"/>
      <c r="BH168" s="115"/>
      <c r="BI168" s="115"/>
      <c r="BJ168" s="201"/>
      <c r="BK168" s="236">
        <f t="shared" si="146"/>
        <v>0</v>
      </c>
      <c r="BL168" s="9"/>
      <c r="BM168" s="9"/>
      <c r="BN168" s="9"/>
      <c r="BO168" s="9"/>
      <c r="BP168" s="205"/>
      <c r="BQ168" s="9"/>
      <c r="BR168" s="206"/>
      <c r="BS168" s="206"/>
      <c r="BT168" s="206"/>
      <c r="BU168" s="206"/>
      <c r="BV168" s="206"/>
      <c r="BW168" s="206"/>
      <c r="BX168" s="206"/>
      <c r="BY168" s="206"/>
      <c r="BZ168" s="206"/>
      <c r="CA168" s="206"/>
      <c r="CB168" s="206"/>
      <c r="CC168" s="206"/>
      <c r="CD168" s="206"/>
      <c r="CE168" s="206"/>
      <c r="CF168" s="206"/>
      <c r="CG168" s="206"/>
      <c r="CH168" s="206"/>
      <c r="CI168" s="206"/>
      <c r="CJ168" s="206"/>
      <c r="CK168" s="206"/>
      <c r="CL168" s="206"/>
      <c r="CM168" s="206"/>
      <c r="CN168" s="206"/>
      <c r="CO168" s="206"/>
      <c r="CP168" s="206"/>
      <c r="CQ168" s="206"/>
      <c r="CR168" s="206"/>
      <c r="CS168" s="206"/>
      <c r="CT168" s="206"/>
      <c r="CU168" s="206"/>
      <c r="CV168" s="206"/>
      <c r="CW168" s="206"/>
      <c r="CX168" s="206"/>
      <c r="CY168" s="206"/>
      <c r="CZ168" s="206"/>
      <c r="DA168" s="206"/>
      <c r="DB168" s="206"/>
      <c r="DC168" s="206"/>
      <c r="DD168" s="206"/>
      <c r="DE168" s="206"/>
      <c r="DF168" s="206"/>
      <c r="DG168" s="206"/>
      <c r="DH168" s="206"/>
      <c r="DI168" s="206"/>
      <c r="DJ168" s="206"/>
      <c r="DK168" s="206"/>
      <c r="DL168" s="206"/>
      <c r="DM168" s="206"/>
      <c r="DN168" s="206"/>
      <c r="DO168" s="206"/>
      <c r="DP168" s="206"/>
      <c r="DQ168" s="206"/>
      <c r="DR168" s="206"/>
      <c r="DS168" s="206"/>
      <c r="DT168" s="206"/>
      <c r="DU168" s="206"/>
      <c r="DV168" s="206"/>
      <c r="DW168" s="206"/>
      <c r="DX168" s="206"/>
      <c r="DY168" s="206"/>
      <c r="DZ168" s="206"/>
      <c r="EA168" s="206"/>
      <c r="EB168" s="206"/>
      <c r="EC168" s="206"/>
      <c r="ED168" s="206"/>
      <c r="EE168" s="206"/>
      <c r="EF168" s="206"/>
      <c r="EG168" s="206"/>
      <c r="EH168" s="206"/>
      <c r="EI168" s="206"/>
      <c r="EJ168" s="206"/>
      <c r="EK168" s="206"/>
      <c r="EL168" s="206"/>
      <c r="EM168" s="206"/>
      <c r="EN168" s="206"/>
      <c r="EO168" s="206"/>
      <c r="EP168" s="206"/>
      <c r="EQ168" s="206"/>
      <c r="ER168" s="206"/>
      <c r="ES168" s="206"/>
      <c r="ET168" s="206"/>
      <c r="EU168" s="206"/>
      <c r="EV168" s="206"/>
      <c r="EW168" s="206"/>
      <c r="EX168" s="206"/>
      <c r="EY168" s="206"/>
      <c r="EZ168" s="206"/>
      <c r="FA168" s="206"/>
      <c r="FB168" s="206"/>
      <c r="FC168" s="206"/>
      <c r="FD168" s="206"/>
      <c r="FE168" s="206"/>
      <c r="FF168" s="206"/>
      <c r="FG168" s="206"/>
      <c r="FH168" s="206"/>
      <c r="FI168" s="206"/>
      <c r="FJ168" s="206"/>
      <c r="FK168" s="206"/>
      <c r="FL168" s="206"/>
      <c r="FM168" s="206"/>
      <c r="FN168" s="206"/>
      <c r="FO168" s="206"/>
      <c r="FP168" s="206"/>
      <c r="FQ168" s="206"/>
      <c r="FR168" s="206"/>
      <c r="FS168" s="206"/>
      <c r="FT168" s="206"/>
      <c r="FU168" s="206"/>
      <c r="FV168" s="206"/>
      <c r="FW168" s="206"/>
      <c r="FX168" s="206"/>
      <c r="FY168" s="206"/>
      <c r="FZ168" s="206"/>
      <c r="GA168" s="46"/>
      <c r="GD168" s="192">
        <f>M160</f>
        <v>0</v>
      </c>
      <c r="GE168" s="192">
        <f>N160</f>
        <v>0</v>
      </c>
      <c r="GF168" s="193" t="str">
        <f>MID(Q160,1,50) &amp; LEN(Q160)</f>
        <v>0</v>
      </c>
      <c r="GG168" s="193">
        <f>S160</f>
        <v>0</v>
      </c>
      <c r="GH168" s="194" t="str">
        <f t="shared" si="147"/>
        <v>Нефть :: ACTI</v>
      </c>
      <c r="GI168" s="194" t="str">
        <f t="shared" si="148"/>
        <v>0::0::0::0::Нефть :: ACTI</v>
      </c>
      <c r="GJ168" s="10"/>
      <c r="GK168" s="10"/>
      <c r="GL168" s="10"/>
      <c r="GM168" s="10"/>
    </row>
    <row r="169" spans="6:195" s="75" customFormat="1" ht="12" hidden="1" customHeight="1">
      <c r="F169" s="200"/>
      <c r="G169" s="406"/>
      <c r="H169" s="411"/>
      <c r="I169" s="412"/>
      <c r="J169" s="409"/>
      <c r="K169" s="407"/>
      <c r="L169" s="409"/>
      <c r="M169" s="410"/>
      <c r="N169" s="410"/>
      <c r="O169" s="410"/>
      <c r="P169" s="409"/>
      <c r="Q169" s="422"/>
      <c r="R169" s="409"/>
      <c r="S169" s="410"/>
      <c r="T169" s="409"/>
      <c r="U169" s="409"/>
      <c r="V169" s="409"/>
      <c r="W169" s="409"/>
      <c r="X169" s="409"/>
      <c r="Y169" s="409"/>
      <c r="Z169" s="112"/>
      <c r="AA169" s="111">
        <v>7</v>
      </c>
      <c r="AB169" s="113" t="s">
        <v>1578</v>
      </c>
      <c r="AC169" s="121" t="str">
        <f t="shared" si="149"/>
        <v>Уголь</v>
      </c>
      <c r="AD169" s="191" t="str">
        <f t="shared" si="142"/>
        <v>Уголь :: ACTI</v>
      </c>
      <c r="AE169" s="218"/>
      <c r="AF169" s="218"/>
      <c r="AG169" s="116">
        <f t="shared" si="143"/>
        <v>0</v>
      </c>
      <c r="AH169" s="116">
        <f t="shared" si="144"/>
        <v>0</v>
      </c>
      <c r="AI169" s="115"/>
      <c r="AJ169" s="116">
        <f t="shared" si="145"/>
        <v>0</v>
      </c>
      <c r="AK169" s="116">
        <f>SUMIF(Т!$GI$45:$GI$66,$GI169,Т!AK$45:AK$66)</f>
        <v>0</v>
      </c>
      <c r="AL169" s="116">
        <f>SUMIF(Т!$GI$45:$GI$66,$GI169,Т!AN$45:AN$66)</f>
        <v>0</v>
      </c>
      <c r="AM169" s="115"/>
      <c r="AN169" s="115"/>
      <c r="AO169" s="115"/>
      <c r="AP169" s="115"/>
      <c r="AQ169" s="115"/>
      <c r="AR169" s="115"/>
      <c r="AS169" s="115"/>
      <c r="AT169" s="115"/>
      <c r="AU169" s="115"/>
      <c r="AV169" s="115"/>
      <c r="AW169" s="115"/>
      <c r="AX169" s="115"/>
      <c r="AY169" s="115"/>
      <c r="AZ169" s="115"/>
      <c r="BA169" s="115"/>
      <c r="BB169" s="115"/>
      <c r="BC169" s="115"/>
      <c r="BD169" s="115"/>
      <c r="BE169" s="232" t="str">
        <f>IF($G160="","ACTI","DELD")</f>
        <v>ACTI</v>
      </c>
      <c r="BF169" s="119" t="str">
        <f>$I160 &amp; "." &amp; $AA169 &amp; ".1"</f>
        <v>.7.1</v>
      </c>
      <c r="BG169" s="115"/>
      <c r="BH169" s="115"/>
      <c r="BI169" s="115"/>
      <c r="BJ169" s="201"/>
      <c r="BK169" s="236">
        <f t="shared" si="146"/>
        <v>0</v>
      </c>
      <c r="BL169" s="9"/>
      <c r="BM169" s="9"/>
      <c r="BN169" s="9"/>
      <c r="BO169" s="9"/>
      <c r="BP169" s="205"/>
      <c r="BQ169" s="9"/>
      <c r="BR169" s="206"/>
      <c r="BS169" s="206"/>
      <c r="BT169" s="206"/>
      <c r="BU169" s="206"/>
      <c r="BV169" s="206"/>
      <c r="BW169" s="206"/>
      <c r="BX169" s="206"/>
      <c r="BY169" s="206"/>
      <c r="BZ169" s="206"/>
      <c r="CA169" s="206"/>
      <c r="CB169" s="206"/>
      <c r="CC169" s="206"/>
      <c r="CD169" s="206"/>
      <c r="CE169" s="206"/>
      <c r="CF169" s="206"/>
      <c r="CG169" s="206"/>
      <c r="CH169" s="206"/>
      <c r="CI169" s="206"/>
      <c r="CJ169" s="206"/>
      <c r="CK169" s="206"/>
      <c r="CL169" s="206"/>
      <c r="CM169" s="206"/>
      <c r="CN169" s="206"/>
      <c r="CO169" s="206"/>
      <c r="CP169" s="206"/>
      <c r="CQ169" s="206"/>
      <c r="CR169" s="206"/>
      <c r="CS169" s="206"/>
      <c r="CT169" s="206"/>
      <c r="CU169" s="206"/>
      <c r="CV169" s="206"/>
      <c r="CW169" s="206"/>
      <c r="CX169" s="206"/>
      <c r="CY169" s="206"/>
      <c r="CZ169" s="206"/>
      <c r="DA169" s="206"/>
      <c r="DB169" s="206"/>
      <c r="DC169" s="206"/>
      <c r="DD169" s="206"/>
      <c r="DE169" s="206"/>
      <c r="DF169" s="206"/>
      <c r="DG169" s="206"/>
      <c r="DH169" s="206"/>
      <c r="DI169" s="206"/>
      <c r="DJ169" s="206"/>
      <c r="DK169" s="206"/>
      <c r="DL169" s="206"/>
      <c r="DM169" s="206"/>
      <c r="DN169" s="206"/>
      <c r="DO169" s="206"/>
      <c r="DP169" s="206"/>
      <c r="DQ169" s="206"/>
      <c r="DR169" s="206"/>
      <c r="DS169" s="206"/>
      <c r="DT169" s="206"/>
      <c r="DU169" s="206"/>
      <c r="DV169" s="206"/>
      <c r="DW169" s="206"/>
      <c r="DX169" s="206"/>
      <c r="DY169" s="206"/>
      <c r="DZ169" s="206"/>
      <c r="EA169" s="206"/>
      <c r="EB169" s="206"/>
      <c r="EC169" s="206"/>
      <c r="ED169" s="206"/>
      <c r="EE169" s="206"/>
      <c r="EF169" s="206"/>
      <c r="EG169" s="206"/>
      <c r="EH169" s="206"/>
      <c r="EI169" s="206"/>
      <c r="EJ169" s="206"/>
      <c r="EK169" s="206"/>
      <c r="EL169" s="206"/>
      <c r="EM169" s="206"/>
      <c r="EN169" s="206"/>
      <c r="EO169" s="206"/>
      <c r="EP169" s="206"/>
      <c r="EQ169" s="206"/>
      <c r="ER169" s="206"/>
      <c r="ES169" s="206"/>
      <c r="ET169" s="206"/>
      <c r="EU169" s="206"/>
      <c r="EV169" s="206"/>
      <c r="EW169" s="206"/>
      <c r="EX169" s="206"/>
      <c r="EY169" s="206"/>
      <c r="EZ169" s="206"/>
      <c r="FA169" s="206"/>
      <c r="FB169" s="206"/>
      <c r="FC169" s="206"/>
      <c r="FD169" s="206"/>
      <c r="FE169" s="206"/>
      <c r="FF169" s="206"/>
      <c r="FG169" s="206"/>
      <c r="FH169" s="206"/>
      <c r="FI169" s="206"/>
      <c r="FJ169" s="206"/>
      <c r="FK169" s="206"/>
      <c r="FL169" s="206"/>
      <c r="FM169" s="206"/>
      <c r="FN169" s="206"/>
      <c r="FO169" s="206"/>
      <c r="FP169" s="206"/>
      <c r="FQ169" s="206"/>
      <c r="FR169" s="206"/>
      <c r="FS169" s="206"/>
      <c r="FT169" s="206"/>
      <c r="FU169" s="206"/>
      <c r="FV169" s="206"/>
      <c r="FW169" s="206"/>
      <c r="FX169" s="206"/>
      <c r="FY169" s="206"/>
      <c r="FZ169" s="206"/>
      <c r="GA169" s="46"/>
      <c r="GD169" s="192">
        <f>M160</f>
        <v>0</v>
      </c>
      <c r="GE169" s="192">
        <f>N160</f>
        <v>0</v>
      </c>
      <c r="GF169" s="193" t="str">
        <f>MID(Q160,1,50) &amp; LEN(Q160)</f>
        <v>0</v>
      </c>
      <c r="GG169" s="193">
        <f>S160</f>
        <v>0</v>
      </c>
      <c r="GH169" s="194" t="str">
        <f t="shared" si="147"/>
        <v>Уголь :: ACTI</v>
      </c>
      <c r="GI169" s="194" t="str">
        <f t="shared" si="148"/>
        <v>0::0::0::0::Уголь :: ACTI</v>
      </c>
      <c r="GJ169" s="10"/>
      <c r="GK169" s="10"/>
      <c r="GL169" s="10"/>
      <c r="GM169" s="10"/>
    </row>
    <row r="170" spans="6:195" s="75" customFormat="1" ht="12" hidden="1" customHeight="1">
      <c r="F170" s="200"/>
      <c r="G170" s="406"/>
      <c r="H170" s="411"/>
      <c r="I170" s="412"/>
      <c r="J170" s="409"/>
      <c r="K170" s="407"/>
      <c r="L170" s="409"/>
      <c r="M170" s="410"/>
      <c r="N170" s="410"/>
      <c r="O170" s="410"/>
      <c r="P170" s="409"/>
      <c r="Q170" s="422"/>
      <c r="R170" s="409"/>
      <c r="S170" s="410"/>
      <c r="T170" s="409"/>
      <c r="U170" s="409"/>
      <c r="V170" s="409"/>
      <c r="W170" s="409"/>
      <c r="X170" s="409"/>
      <c r="Y170" s="409"/>
      <c r="Z170" s="112"/>
      <c r="AA170" s="424">
        <v>8</v>
      </c>
      <c r="AB170" s="413" t="s">
        <v>1621</v>
      </c>
      <c r="AC170" s="124" t="s">
        <v>1663</v>
      </c>
      <c r="AD170" s="191" t="str">
        <f t="shared" si="142"/>
        <v>Энергия :: ACTI</v>
      </c>
      <c r="AE170" s="218"/>
      <c r="AF170" s="218"/>
      <c r="AG170" s="116">
        <f t="shared" si="143"/>
        <v>0</v>
      </c>
      <c r="AH170" s="116">
        <f t="shared" si="144"/>
        <v>0</v>
      </c>
      <c r="AI170" s="115"/>
      <c r="AJ170" s="116">
        <f t="shared" si="145"/>
        <v>0</v>
      </c>
      <c r="AK170" s="116">
        <f>SUMIF(Т!$GI$45:$GI$66,$GI170,Т!BJ$45:BJ$66)</f>
        <v>0</v>
      </c>
      <c r="AL170" s="116">
        <f>SUMIF(Т!$GI$45:$GI$66,$GI170,Т!BH$45:BH$66)</f>
        <v>0</v>
      </c>
      <c r="AM170" s="115"/>
      <c r="AN170" s="115"/>
      <c r="AO170" s="115"/>
      <c r="AP170" s="115"/>
      <c r="AQ170" s="115"/>
      <c r="AR170" s="115"/>
      <c r="AS170" s="115"/>
      <c r="AT170" s="115"/>
      <c r="AU170" s="115"/>
      <c r="AV170" s="115"/>
      <c r="AW170" s="115"/>
      <c r="AX170" s="115"/>
      <c r="AY170" s="115"/>
      <c r="AZ170" s="115"/>
      <c r="BA170" s="115"/>
      <c r="BB170" s="115"/>
      <c r="BC170" s="115"/>
      <c r="BD170" s="115"/>
      <c r="BE170" s="232" t="str">
        <f>IF($G160="","ACTI","DELD")</f>
        <v>ACTI</v>
      </c>
      <c r="BF170" s="119" t="str">
        <f>$I160 &amp; "." &amp; $AA170 &amp; ".1"</f>
        <v>.8.1</v>
      </c>
      <c r="BG170" s="115"/>
      <c r="BH170" s="115"/>
      <c r="BI170" s="115"/>
      <c r="BJ170" s="423"/>
      <c r="BK170" s="236">
        <f t="shared" si="146"/>
        <v>0</v>
      </c>
      <c r="BL170" s="9"/>
      <c r="BM170" s="9"/>
      <c r="BN170" s="9"/>
      <c r="BO170" s="9"/>
      <c r="BP170" s="205"/>
      <c r="BQ170" s="9"/>
      <c r="BR170" s="206"/>
      <c r="BS170" s="206"/>
      <c r="BT170" s="206"/>
      <c r="BU170" s="206"/>
      <c r="BV170" s="206"/>
      <c r="BW170" s="206"/>
      <c r="BX170" s="206"/>
      <c r="BY170" s="206"/>
      <c r="BZ170" s="206"/>
      <c r="CA170" s="206"/>
      <c r="CB170" s="206"/>
      <c r="CC170" s="206"/>
      <c r="CD170" s="206"/>
      <c r="CE170" s="206"/>
      <c r="CF170" s="206"/>
      <c r="CG170" s="206"/>
      <c r="CH170" s="206"/>
      <c r="CI170" s="206"/>
      <c r="CJ170" s="206"/>
      <c r="CK170" s="206"/>
      <c r="CL170" s="206"/>
      <c r="CM170" s="206"/>
      <c r="CN170" s="206"/>
      <c r="CO170" s="206"/>
      <c r="CP170" s="206"/>
      <c r="CQ170" s="206"/>
      <c r="CR170" s="206"/>
      <c r="CS170" s="206"/>
      <c r="CT170" s="206"/>
      <c r="CU170" s="206"/>
      <c r="CV170" s="206"/>
      <c r="CW170" s="206"/>
      <c r="CX170" s="206"/>
      <c r="CY170" s="206"/>
      <c r="CZ170" s="206"/>
      <c r="DA170" s="206"/>
      <c r="DB170" s="206"/>
      <c r="DC170" s="206"/>
      <c r="DD170" s="206"/>
      <c r="DE170" s="206"/>
      <c r="DF170" s="206"/>
      <c r="DG170" s="206"/>
      <c r="DH170" s="206"/>
      <c r="DI170" s="206"/>
      <c r="DJ170" s="206"/>
      <c r="DK170" s="206"/>
      <c r="DL170" s="206"/>
      <c r="DM170" s="206"/>
      <c r="DN170" s="206"/>
      <c r="DO170" s="206"/>
      <c r="DP170" s="206"/>
      <c r="DQ170" s="206"/>
      <c r="DR170" s="206"/>
      <c r="DS170" s="206"/>
      <c r="DT170" s="206"/>
      <c r="DU170" s="206"/>
      <c r="DV170" s="206"/>
      <c r="DW170" s="206"/>
      <c r="DX170" s="206"/>
      <c r="DY170" s="206"/>
      <c r="DZ170" s="206"/>
      <c r="EA170" s="206"/>
      <c r="EB170" s="206"/>
      <c r="EC170" s="206"/>
      <c r="ED170" s="206"/>
      <c r="EE170" s="206"/>
      <c r="EF170" s="206"/>
      <c r="EG170" s="206"/>
      <c r="EH170" s="206"/>
      <c r="EI170" s="206"/>
      <c r="EJ170" s="206"/>
      <c r="EK170" s="206"/>
      <c r="EL170" s="206"/>
      <c r="EM170" s="206"/>
      <c r="EN170" s="206"/>
      <c r="EO170" s="206"/>
      <c r="EP170" s="206"/>
      <c r="EQ170" s="206"/>
      <c r="ER170" s="206"/>
      <c r="ES170" s="206"/>
      <c r="ET170" s="206"/>
      <c r="EU170" s="206"/>
      <c r="EV170" s="206"/>
      <c r="EW170" s="206"/>
      <c r="EX170" s="206"/>
      <c r="EY170" s="206"/>
      <c r="EZ170" s="206"/>
      <c r="FA170" s="206"/>
      <c r="FB170" s="206"/>
      <c r="FC170" s="206"/>
      <c r="FD170" s="206"/>
      <c r="FE170" s="206"/>
      <c r="FF170" s="206"/>
      <c r="FG170" s="206"/>
      <c r="FH170" s="206"/>
      <c r="FI170" s="206"/>
      <c r="FJ170" s="206"/>
      <c r="FK170" s="206"/>
      <c r="FL170" s="206"/>
      <c r="FM170" s="206"/>
      <c r="FN170" s="206"/>
      <c r="FO170" s="206"/>
      <c r="FP170" s="206"/>
      <c r="FQ170" s="206"/>
      <c r="FR170" s="206"/>
      <c r="FS170" s="206"/>
      <c r="FT170" s="206"/>
      <c r="FU170" s="206"/>
      <c r="FV170" s="206"/>
      <c r="FW170" s="206"/>
      <c r="FX170" s="206"/>
      <c r="FY170" s="206"/>
      <c r="FZ170" s="206"/>
      <c r="GA170" s="46"/>
      <c r="GD170" s="192">
        <f>M160</f>
        <v>0</v>
      </c>
      <c r="GE170" s="192">
        <f>N160</f>
        <v>0</v>
      </c>
      <c r="GF170" s="193" t="str">
        <f>MID(Q160,1,50) &amp; LEN(Q160)</f>
        <v>0</v>
      </c>
      <c r="GG170" s="193">
        <f>S160</f>
        <v>0</v>
      </c>
      <c r="GH170" s="194" t="str">
        <f t="shared" si="147"/>
        <v>Энергия :: ACTI</v>
      </c>
      <c r="GI170" s="194" t="str">
        <f t="shared" si="148"/>
        <v>0::0::0::0::Энергия :: ACTI</v>
      </c>
      <c r="GJ170" s="10"/>
      <c r="GK170" s="10"/>
      <c r="GL170" s="10"/>
      <c r="GM170" s="10"/>
    </row>
    <row r="171" spans="6:195" s="75" customFormat="1" ht="12" hidden="1" customHeight="1">
      <c r="F171" s="200"/>
      <c r="G171" s="406"/>
      <c r="H171" s="411"/>
      <c r="I171" s="412"/>
      <c r="J171" s="409"/>
      <c r="K171" s="407"/>
      <c r="L171" s="409"/>
      <c r="M171" s="410"/>
      <c r="N171" s="410"/>
      <c r="O171" s="410"/>
      <c r="P171" s="409"/>
      <c r="Q171" s="422"/>
      <c r="R171" s="409"/>
      <c r="S171" s="410"/>
      <c r="T171" s="409"/>
      <c r="U171" s="409"/>
      <c r="V171" s="409"/>
      <c r="W171" s="409"/>
      <c r="X171" s="409"/>
      <c r="Y171" s="409"/>
      <c r="Z171" s="112"/>
      <c r="AA171" s="424"/>
      <c r="AB171" s="421"/>
      <c r="AC171" s="124" t="s">
        <v>1664</v>
      </c>
      <c r="AD171" s="191" t="str">
        <f t="shared" si="142"/>
        <v>Заявленная мощность :: ACTI</v>
      </c>
      <c r="AE171" s="218"/>
      <c r="AF171" s="218"/>
      <c r="AG171" s="116">
        <f t="shared" si="143"/>
        <v>0</v>
      </c>
      <c r="AH171" s="116">
        <f t="shared" si="144"/>
        <v>0</v>
      </c>
      <c r="AI171" s="115"/>
      <c r="AJ171" s="116">
        <f t="shared" si="145"/>
        <v>0</v>
      </c>
      <c r="AK171" s="116">
        <f>SUMIF(Т!$GI$45:$GI$66,$GI171,Т!BJ$45:BJ$66)</f>
        <v>0</v>
      </c>
      <c r="AL171" s="116">
        <f>SUMIF(Т!$GI$45:$GI$66,$GI171,Т!BH$45:BH$66)</f>
        <v>0</v>
      </c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  <c r="BE171" s="232" t="str">
        <f>IF($G160="","ACTI","DELD")</f>
        <v>ACTI</v>
      </c>
      <c r="BF171" s="119" t="str">
        <f>$I160 &amp; "." &amp; $AA170 &amp; ".2"</f>
        <v>.8.2</v>
      </c>
      <c r="BG171" s="115"/>
      <c r="BH171" s="115"/>
      <c r="BI171" s="115"/>
      <c r="BJ171" s="423"/>
      <c r="BK171" s="236">
        <f t="shared" si="146"/>
        <v>0</v>
      </c>
      <c r="BL171" s="9"/>
      <c r="BM171" s="9"/>
      <c r="BN171" s="9"/>
      <c r="BO171" s="9"/>
      <c r="BP171" s="205"/>
      <c r="BQ171" s="9"/>
      <c r="BR171" s="206"/>
      <c r="BS171" s="206"/>
      <c r="BT171" s="206"/>
      <c r="BU171" s="206"/>
      <c r="BV171" s="206"/>
      <c r="BW171" s="206"/>
      <c r="BX171" s="206"/>
      <c r="BY171" s="206"/>
      <c r="BZ171" s="206"/>
      <c r="CA171" s="206"/>
      <c r="CB171" s="206"/>
      <c r="CC171" s="206"/>
      <c r="CD171" s="206"/>
      <c r="CE171" s="206"/>
      <c r="CF171" s="206"/>
      <c r="CG171" s="206"/>
      <c r="CH171" s="206"/>
      <c r="CI171" s="206"/>
      <c r="CJ171" s="206"/>
      <c r="CK171" s="206"/>
      <c r="CL171" s="206"/>
      <c r="CM171" s="206"/>
      <c r="CN171" s="206"/>
      <c r="CO171" s="206"/>
      <c r="CP171" s="206"/>
      <c r="CQ171" s="206"/>
      <c r="CR171" s="206"/>
      <c r="CS171" s="206"/>
      <c r="CT171" s="206"/>
      <c r="CU171" s="206"/>
      <c r="CV171" s="206"/>
      <c r="CW171" s="206"/>
      <c r="CX171" s="206"/>
      <c r="CY171" s="206"/>
      <c r="CZ171" s="206"/>
      <c r="DA171" s="206"/>
      <c r="DB171" s="206"/>
      <c r="DC171" s="206"/>
      <c r="DD171" s="206"/>
      <c r="DE171" s="206"/>
      <c r="DF171" s="206"/>
      <c r="DG171" s="206"/>
      <c r="DH171" s="206"/>
      <c r="DI171" s="206"/>
      <c r="DJ171" s="206"/>
      <c r="DK171" s="206"/>
      <c r="DL171" s="206"/>
      <c r="DM171" s="206"/>
      <c r="DN171" s="206"/>
      <c r="DO171" s="206"/>
      <c r="DP171" s="206"/>
      <c r="DQ171" s="206"/>
      <c r="DR171" s="206"/>
      <c r="DS171" s="206"/>
      <c r="DT171" s="206"/>
      <c r="DU171" s="206"/>
      <c r="DV171" s="206"/>
      <c r="DW171" s="206"/>
      <c r="DX171" s="206"/>
      <c r="DY171" s="206"/>
      <c r="DZ171" s="206"/>
      <c r="EA171" s="206"/>
      <c r="EB171" s="206"/>
      <c r="EC171" s="206"/>
      <c r="ED171" s="206"/>
      <c r="EE171" s="206"/>
      <c r="EF171" s="206"/>
      <c r="EG171" s="206"/>
      <c r="EH171" s="206"/>
      <c r="EI171" s="206"/>
      <c r="EJ171" s="206"/>
      <c r="EK171" s="206"/>
      <c r="EL171" s="206"/>
      <c r="EM171" s="206"/>
      <c r="EN171" s="206"/>
      <c r="EO171" s="206"/>
      <c r="EP171" s="206"/>
      <c r="EQ171" s="206"/>
      <c r="ER171" s="206"/>
      <c r="ES171" s="206"/>
      <c r="ET171" s="206"/>
      <c r="EU171" s="206"/>
      <c r="EV171" s="206"/>
      <c r="EW171" s="206"/>
      <c r="EX171" s="206"/>
      <c r="EY171" s="206"/>
      <c r="EZ171" s="206"/>
      <c r="FA171" s="206"/>
      <c r="FB171" s="206"/>
      <c r="FC171" s="206"/>
      <c r="FD171" s="206"/>
      <c r="FE171" s="206"/>
      <c r="FF171" s="206"/>
      <c r="FG171" s="206"/>
      <c r="FH171" s="206"/>
      <c r="FI171" s="206"/>
      <c r="FJ171" s="206"/>
      <c r="FK171" s="206"/>
      <c r="FL171" s="206"/>
      <c r="FM171" s="206"/>
      <c r="FN171" s="206"/>
      <c r="FO171" s="206"/>
      <c r="FP171" s="206"/>
      <c r="FQ171" s="206"/>
      <c r="FR171" s="206"/>
      <c r="FS171" s="206"/>
      <c r="FT171" s="206"/>
      <c r="FU171" s="206"/>
      <c r="FV171" s="206"/>
      <c r="FW171" s="206"/>
      <c r="FX171" s="206"/>
      <c r="FY171" s="206"/>
      <c r="FZ171" s="206"/>
      <c r="GA171" s="46"/>
      <c r="GD171" s="192">
        <f>M160</f>
        <v>0</v>
      </c>
      <c r="GE171" s="192">
        <f>N160</f>
        <v>0</v>
      </c>
      <c r="GF171" s="193" t="str">
        <f>MID(Q160,1,50) &amp; LEN(Q160)</f>
        <v>0</v>
      </c>
      <c r="GG171" s="193">
        <f>S160</f>
        <v>0</v>
      </c>
      <c r="GH171" s="194" t="str">
        <f t="shared" si="147"/>
        <v>Заявленная мощность :: ACTI</v>
      </c>
      <c r="GI171" s="194" t="str">
        <f t="shared" si="148"/>
        <v>0::0::0::0::Заявленная мощность :: ACTI</v>
      </c>
      <c r="GJ171" s="10"/>
      <c r="GK171" s="10"/>
      <c r="GL171" s="10"/>
      <c r="GM171" s="10"/>
    </row>
    <row r="172" spans="6:195" s="75" customFormat="1" ht="12" hidden="1" customHeight="1">
      <c r="F172" s="200"/>
      <c r="G172" s="406"/>
      <c r="H172" s="411"/>
      <c r="I172" s="412"/>
      <c r="J172" s="409"/>
      <c r="K172" s="407"/>
      <c r="L172" s="409"/>
      <c r="M172" s="410"/>
      <c r="N172" s="410"/>
      <c r="O172" s="410"/>
      <c r="P172" s="409"/>
      <c r="Q172" s="422"/>
      <c r="R172" s="409"/>
      <c r="S172" s="410"/>
      <c r="T172" s="409"/>
      <c r="U172" s="409"/>
      <c r="V172" s="409"/>
      <c r="W172" s="409"/>
      <c r="X172" s="409"/>
      <c r="Y172" s="409"/>
      <c r="Z172" s="112"/>
      <c r="AA172" s="111" t="s">
        <v>1708</v>
      </c>
      <c r="AB172" s="113" t="s">
        <v>1744</v>
      </c>
      <c r="AC172" s="121" t="str">
        <f t="shared" ref="AC172:AC177" si="150">AB172</f>
        <v>Дрова</v>
      </c>
      <c r="AD172" s="191" t="str">
        <f t="shared" si="142"/>
        <v>Дрова :: ACTI</v>
      </c>
      <c r="AE172" s="218"/>
      <c r="AF172" s="218"/>
      <c r="AG172" s="116">
        <f t="shared" si="143"/>
        <v>0</v>
      </c>
      <c r="AH172" s="116">
        <f t="shared" si="144"/>
        <v>0</v>
      </c>
      <c r="AI172" s="115"/>
      <c r="AJ172" s="116">
        <f t="shared" si="145"/>
        <v>0</v>
      </c>
      <c r="AK172" s="116">
        <f>SUMIF(Т!$GI$45:$GI$66,$GI172,Т!AK$45:AK$66)</f>
        <v>0</v>
      </c>
      <c r="AL172" s="116">
        <f>SUMIF(Т!$GI$45:$GI$66,$GI172,Т!AN$45:AN$66)</f>
        <v>0</v>
      </c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232" t="str">
        <f>IF($G160="","ACTI","DELD")</f>
        <v>ACTI</v>
      </c>
      <c r="BF172" s="119" t="str">
        <f>$I160 &amp; "." &amp; $AA172 &amp; ".1"</f>
        <v>.9.1</v>
      </c>
      <c r="BG172" s="115"/>
      <c r="BH172" s="115"/>
      <c r="BI172" s="115"/>
      <c r="BJ172" s="201"/>
      <c r="BK172" s="236">
        <f t="shared" si="146"/>
        <v>0</v>
      </c>
      <c r="BL172" s="9"/>
      <c r="BM172" s="9"/>
      <c r="BN172" s="9"/>
      <c r="BO172" s="9"/>
      <c r="BP172" s="205"/>
      <c r="BQ172" s="9"/>
      <c r="BR172" s="206"/>
      <c r="BS172" s="206"/>
      <c r="BT172" s="206"/>
      <c r="BU172" s="206"/>
      <c r="BV172" s="206"/>
      <c r="BW172" s="206"/>
      <c r="BX172" s="206"/>
      <c r="BY172" s="206"/>
      <c r="BZ172" s="206"/>
      <c r="CA172" s="206"/>
      <c r="CB172" s="206"/>
      <c r="CC172" s="206"/>
      <c r="CD172" s="206"/>
      <c r="CE172" s="206"/>
      <c r="CF172" s="206"/>
      <c r="CG172" s="206"/>
      <c r="CH172" s="206"/>
      <c r="CI172" s="206"/>
      <c r="CJ172" s="206"/>
      <c r="CK172" s="206"/>
      <c r="CL172" s="206"/>
      <c r="CM172" s="206"/>
      <c r="CN172" s="206"/>
      <c r="CO172" s="206"/>
      <c r="CP172" s="206"/>
      <c r="CQ172" s="206"/>
      <c r="CR172" s="206"/>
      <c r="CS172" s="206"/>
      <c r="CT172" s="206"/>
      <c r="CU172" s="206"/>
      <c r="CV172" s="206"/>
      <c r="CW172" s="206"/>
      <c r="CX172" s="206"/>
      <c r="CY172" s="206"/>
      <c r="CZ172" s="206"/>
      <c r="DA172" s="206"/>
      <c r="DB172" s="206"/>
      <c r="DC172" s="206"/>
      <c r="DD172" s="206"/>
      <c r="DE172" s="206"/>
      <c r="DF172" s="206"/>
      <c r="DG172" s="206"/>
      <c r="DH172" s="206"/>
      <c r="DI172" s="206"/>
      <c r="DJ172" s="206"/>
      <c r="DK172" s="206"/>
      <c r="DL172" s="206"/>
      <c r="DM172" s="206"/>
      <c r="DN172" s="206"/>
      <c r="DO172" s="206"/>
      <c r="DP172" s="206"/>
      <c r="DQ172" s="206"/>
      <c r="DR172" s="206"/>
      <c r="DS172" s="206"/>
      <c r="DT172" s="206"/>
      <c r="DU172" s="206"/>
      <c r="DV172" s="206"/>
      <c r="DW172" s="206"/>
      <c r="DX172" s="206"/>
      <c r="DY172" s="206"/>
      <c r="DZ172" s="206"/>
      <c r="EA172" s="206"/>
      <c r="EB172" s="206"/>
      <c r="EC172" s="206"/>
      <c r="ED172" s="206"/>
      <c r="EE172" s="206"/>
      <c r="EF172" s="206"/>
      <c r="EG172" s="206"/>
      <c r="EH172" s="206"/>
      <c r="EI172" s="206"/>
      <c r="EJ172" s="206"/>
      <c r="EK172" s="206"/>
      <c r="EL172" s="206"/>
      <c r="EM172" s="206"/>
      <c r="EN172" s="206"/>
      <c r="EO172" s="206"/>
      <c r="EP172" s="206"/>
      <c r="EQ172" s="206"/>
      <c r="ER172" s="206"/>
      <c r="ES172" s="206"/>
      <c r="ET172" s="206"/>
      <c r="EU172" s="206"/>
      <c r="EV172" s="206"/>
      <c r="EW172" s="206"/>
      <c r="EX172" s="206"/>
      <c r="EY172" s="206"/>
      <c r="EZ172" s="206"/>
      <c r="FA172" s="206"/>
      <c r="FB172" s="206"/>
      <c r="FC172" s="206"/>
      <c r="FD172" s="206"/>
      <c r="FE172" s="206"/>
      <c r="FF172" s="206"/>
      <c r="FG172" s="206"/>
      <c r="FH172" s="206"/>
      <c r="FI172" s="206"/>
      <c r="FJ172" s="206"/>
      <c r="FK172" s="206"/>
      <c r="FL172" s="206"/>
      <c r="FM172" s="206"/>
      <c r="FN172" s="206"/>
      <c r="FO172" s="206"/>
      <c r="FP172" s="206"/>
      <c r="FQ172" s="206"/>
      <c r="FR172" s="206"/>
      <c r="FS172" s="206"/>
      <c r="FT172" s="206"/>
      <c r="FU172" s="206"/>
      <c r="FV172" s="206"/>
      <c r="FW172" s="206"/>
      <c r="FX172" s="206"/>
      <c r="FY172" s="206"/>
      <c r="FZ172" s="206"/>
      <c r="GA172" s="46"/>
      <c r="GD172" s="192">
        <f>M160</f>
        <v>0</v>
      </c>
      <c r="GE172" s="192">
        <f>N160</f>
        <v>0</v>
      </c>
      <c r="GF172" s="193" t="str">
        <f>MID(Q160,1,50) &amp; LEN(Q160)</f>
        <v>0</v>
      </c>
      <c r="GG172" s="193">
        <f>S160</f>
        <v>0</v>
      </c>
      <c r="GH172" s="194" t="str">
        <f t="shared" si="147"/>
        <v>Дрова :: ACTI</v>
      </c>
      <c r="GI172" s="194" t="str">
        <f t="shared" si="148"/>
        <v>0::0::0::0::Дрова :: ACTI</v>
      </c>
      <c r="GJ172" s="10"/>
      <c r="GK172" s="10"/>
      <c r="GL172" s="10"/>
      <c r="GM172" s="10"/>
    </row>
    <row r="173" spans="6:195" s="75" customFormat="1" ht="12" hidden="1" customHeight="1">
      <c r="F173" s="200"/>
      <c r="G173" s="406"/>
      <c r="H173" s="411"/>
      <c r="I173" s="412"/>
      <c r="J173" s="409"/>
      <c r="K173" s="407"/>
      <c r="L173" s="409"/>
      <c r="M173" s="410"/>
      <c r="N173" s="410"/>
      <c r="O173" s="410"/>
      <c r="P173" s="409"/>
      <c r="Q173" s="422"/>
      <c r="R173" s="409"/>
      <c r="S173" s="410"/>
      <c r="T173" s="409"/>
      <c r="U173" s="409"/>
      <c r="V173" s="409"/>
      <c r="W173" s="409"/>
      <c r="X173" s="409"/>
      <c r="Y173" s="409"/>
      <c r="Z173" s="112"/>
      <c r="AA173" s="110" t="s">
        <v>1709</v>
      </c>
      <c r="AB173" s="113" t="s">
        <v>26</v>
      </c>
      <c r="AC173" s="121" t="str">
        <f t="shared" si="150"/>
        <v>Пеллеты</v>
      </c>
      <c r="AD173" s="191" t="str">
        <f t="shared" si="142"/>
        <v>Пеллеты :: ACTI</v>
      </c>
      <c r="AE173" s="218"/>
      <c r="AF173" s="218"/>
      <c r="AG173" s="116">
        <f t="shared" si="143"/>
        <v>0</v>
      </c>
      <c r="AH173" s="116">
        <f t="shared" si="144"/>
        <v>0</v>
      </c>
      <c r="AI173" s="115"/>
      <c r="AJ173" s="116">
        <f t="shared" si="145"/>
        <v>0</v>
      </c>
      <c r="AK173" s="116">
        <f>SUMIF(Т!$GI$45:$GI$66,$GI173,Т!AK$45:AK$66)</f>
        <v>0</v>
      </c>
      <c r="AL173" s="116">
        <f>SUMIF(Т!$GI$45:$GI$66,$GI173,Т!AN$45:AN$66)</f>
        <v>0</v>
      </c>
      <c r="AM173" s="115"/>
      <c r="AN173" s="115"/>
      <c r="AO173" s="115"/>
      <c r="AP173" s="115"/>
      <c r="AQ173" s="115"/>
      <c r="AR173" s="115"/>
      <c r="AS173" s="115"/>
      <c r="AT173" s="115"/>
      <c r="AU173" s="115"/>
      <c r="AV173" s="115"/>
      <c r="AW173" s="115"/>
      <c r="AX173" s="115"/>
      <c r="AY173" s="115"/>
      <c r="AZ173" s="115"/>
      <c r="BA173" s="115"/>
      <c r="BB173" s="115"/>
      <c r="BC173" s="115"/>
      <c r="BD173" s="115"/>
      <c r="BE173" s="232" t="str">
        <f>IF($G160="","ACTI","DELD")</f>
        <v>ACTI</v>
      </c>
      <c r="BF173" s="119" t="str">
        <f>$I160 &amp; "." &amp; $AA173 &amp; ".1"</f>
        <v>.10.1</v>
      </c>
      <c r="BG173" s="115"/>
      <c r="BH173" s="115"/>
      <c r="BI173" s="115"/>
      <c r="BJ173" s="201"/>
      <c r="BK173" s="236">
        <f t="shared" si="146"/>
        <v>0</v>
      </c>
      <c r="BL173" s="9"/>
      <c r="BM173" s="9"/>
      <c r="BN173" s="9"/>
      <c r="BO173" s="9"/>
      <c r="BP173" s="205"/>
      <c r="BQ173" s="9"/>
      <c r="BR173" s="206"/>
      <c r="BS173" s="206"/>
      <c r="BT173" s="206"/>
      <c r="BU173" s="206"/>
      <c r="BV173" s="206"/>
      <c r="BW173" s="206"/>
      <c r="BX173" s="206"/>
      <c r="BY173" s="206"/>
      <c r="BZ173" s="206"/>
      <c r="CA173" s="206"/>
      <c r="CB173" s="206"/>
      <c r="CC173" s="206"/>
      <c r="CD173" s="206"/>
      <c r="CE173" s="206"/>
      <c r="CF173" s="206"/>
      <c r="CG173" s="206"/>
      <c r="CH173" s="206"/>
      <c r="CI173" s="206"/>
      <c r="CJ173" s="206"/>
      <c r="CK173" s="206"/>
      <c r="CL173" s="206"/>
      <c r="CM173" s="206"/>
      <c r="CN173" s="206"/>
      <c r="CO173" s="206"/>
      <c r="CP173" s="206"/>
      <c r="CQ173" s="206"/>
      <c r="CR173" s="206"/>
      <c r="CS173" s="206"/>
      <c r="CT173" s="206"/>
      <c r="CU173" s="206"/>
      <c r="CV173" s="206"/>
      <c r="CW173" s="206"/>
      <c r="CX173" s="206"/>
      <c r="CY173" s="206"/>
      <c r="CZ173" s="206"/>
      <c r="DA173" s="206"/>
      <c r="DB173" s="206"/>
      <c r="DC173" s="206"/>
      <c r="DD173" s="206"/>
      <c r="DE173" s="206"/>
      <c r="DF173" s="206"/>
      <c r="DG173" s="206"/>
      <c r="DH173" s="206"/>
      <c r="DI173" s="206"/>
      <c r="DJ173" s="206"/>
      <c r="DK173" s="206"/>
      <c r="DL173" s="206"/>
      <c r="DM173" s="206"/>
      <c r="DN173" s="206"/>
      <c r="DO173" s="206"/>
      <c r="DP173" s="206"/>
      <c r="DQ173" s="206"/>
      <c r="DR173" s="206"/>
      <c r="DS173" s="206"/>
      <c r="DT173" s="206"/>
      <c r="DU173" s="206"/>
      <c r="DV173" s="206"/>
      <c r="DW173" s="206"/>
      <c r="DX173" s="206"/>
      <c r="DY173" s="206"/>
      <c r="DZ173" s="206"/>
      <c r="EA173" s="206"/>
      <c r="EB173" s="206"/>
      <c r="EC173" s="206"/>
      <c r="ED173" s="206"/>
      <c r="EE173" s="206"/>
      <c r="EF173" s="206"/>
      <c r="EG173" s="206"/>
      <c r="EH173" s="206"/>
      <c r="EI173" s="206"/>
      <c r="EJ173" s="206"/>
      <c r="EK173" s="206"/>
      <c r="EL173" s="206"/>
      <c r="EM173" s="206"/>
      <c r="EN173" s="206"/>
      <c r="EO173" s="206"/>
      <c r="EP173" s="206"/>
      <c r="EQ173" s="206"/>
      <c r="ER173" s="206"/>
      <c r="ES173" s="206"/>
      <c r="ET173" s="206"/>
      <c r="EU173" s="206"/>
      <c r="EV173" s="206"/>
      <c r="EW173" s="206"/>
      <c r="EX173" s="206"/>
      <c r="EY173" s="206"/>
      <c r="EZ173" s="206"/>
      <c r="FA173" s="206"/>
      <c r="FB173" s="206"/>
      <c r="FC173" s="206"/>
      <c r="FD173" s="206"/>
      <c r="FE173" s="206"/>
      <c r="FF173" s="206"/>
      <c r="FG173" s="206"/>
      <c r="FH173" s="206"/>
      <c r="FI173" s="206"/>
      <c r="FJ173" s="206"/>
      <c r="FK173" s="206"/>
      <c r="FL173" s="206"/>
      <c r="FM173" s="206"/>
      <c r="FN173" s="206"/>
      <c r="FO173" s="206"/>
      <c r="FP173" s="206"/>
      <c r="FQ173" s="206"/>
      <c r="FR173" s="206"/>
      <c r="FS173" s="206"/>
      <c r="FT173" s="206"/>
      <c r="FU173" s="206"/>
      <c r="FV173" s="206"/>
      <c r="FW173" s="206"/>
      <c r="FX173" s="206"/>
      <c r="FY173" s="206"/>
      <c r="FZ173" s="206"/>
      <c r="GA173" s="46"/>
      <c r="GD173" s="192">
        <f>M160</f>
        <v>0</v>
      </c>
      <c r="GE173" s="192">
        <f>N160</f>
        <v>0</v>
      </c>
      <c r="GF173" s="193" t="str">
        <f>MID(Q160,1,50) &amp; LEN(Q160)</f>
        <v>0</v>
      </c>
      <c r="GG173" s="193">
        <f>S160</f>
        <v>0</v>
      </c>
      <c r="GH173" s="194" t="str">
        <f t="shared" si="147"/>
        <v>Пеллеты :: ACTI</v>
      </c>
      <c r="GI173" s="194" t="str">
        <f t="shared" si="148"/>
        <v>0::0::0::0::Пеллеты :: ACTI</v>
      </c>
      <c r="GJ173" s="10"/>
      <c r="GK173" s="10"/>
      <c r="GL173" s="10"/>
      <c r="GM173" s="10"/>
    </row>
    <row r="174" spans="6:195" s="75" customFormat="1" ht="12" hidden="1" customHeight="1">
      <c r="F174" s="200"/>
      <c r="G174" s="406"/>
      <c r="H174" s="411"/>
      <c r="I174" s="412"/>
      <c r="J174" s="409"/>
      <c r="K174" s="407"/>
      <c r="L174" s="409"/>
      <c r="M174" s="410"/>
      <c r="N174" s="410"/>
      <c r="O174" s="410"/>
      <c r="P174" s="409"/>
      <c r="Q174" s="422"/>
      <c r="R174" s="409"/>
      <c r="S174" s="410"/>
      <c r="T174" s="409"/>
      <c r="U174" s="409"/>
      <c r="V174" s="409"/>
      <c r="W174" s="409"/>
      <c r="X174" s="409"/>
      <c r="Y174" s="409"/>
      <c r="Z174" s="112"/>
      <c r="AA174" s="111" t="s">
        <v>1725</v>
      </c>
      <c r="AB174" s="113" t="s">
        <v>1745</v>
      </c>
      <c r="AC174" s="121" t="str">
        <f t="shared" si="150"/>
        <v>Опилки</v>
      </c>
      <c r="AD174" s="191" t="str">
        <f t="shared" si="142"/>
        <v>Опилки :: ACTI</v>
      </c>
      <c r="AE174" s="218"/>
      <c r="AF174" s="218"/>
      <c r="AG174" s="116">
        <f t="shared" si="143"/>
        <v>0</v>
      </c>
      <c r="AH174" s="116">
        <f t="shared" si="144"/>
        <v>0</v>
      </c>
      <c r="AI174" s="115"/>
      <c r="AJ174" s="116">
        <f t="shared" si="145"/>
        <v>0</v>
      </c>
      <c r="AK174" s="116">
        <f>SUMIF(Т!$GI$45:$GI$66,$GI174,Т!AK$45:AK$66)</f>
        <v>0</v>
      </c>
      <c r="AL174" s="116">
        <f>SUMIF(Т!$GI$45:$GI$66,$GI174,Т!AN$45:AN$66)</f>
        <v>0</v>
      </c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232" t="str">
        <f>IF($G160="","ACTI","DELD")</f>
        <v>ACTI</v>
      </c>
      <c r="BF174" s="119" t="str">
        <f>$I160 &amp; "." &amp; $AA174 &amp; ".1"</f>
        <v>.11.1</v>
      </c>
      <c r="BG174" s="115"/>
      <c r="BH174" s="115"/>
      <c r="BI174" s="115"/>
      <c r="BJ174" s="201"/>
      <c r="BK174" s="236">
        <f t="shared" si="146"/>
        <v>0</v>
      </c>
      <c r="BL174" s="9"/>
      <c r="BM174" s="9"/>
      <c r="BN174" s="9"/>
      <c r="BO174" s="9"/>
      <c r="BP174" s="205"/>
      <c r="BQ174" s="9"/>
      <c r="BR174" s="206"/>
      <c r="BS174" s="206"/>
      <c r="BT174" s="206"/>
      <c r="BU174" s="206"/>
      <c r="BV174" s="206"/>
      <c r="BW174" s="206"/>
      <c r="BX174" s="206"/>
      <c r="BY174" s="206"/>
      <c r="BZ174" s="206"/>
      <c r="CA174" s="206"/>
      <c r="CB174" s="206"/>
      <c r="CC174" s="206"/>
      <c r="CD174" s="206"/>
      <c r="CE174" s="206"/>
      <c r="CF174" s="206"/>
      <c r="CG174" s="206"/>
      <c r="CH174" s="206"/>
      <c r="CI174" s="206"/>
      <c r="CJ174" s="206"/>
      <c r="CK174" s="206"/>
      <c r="CL174" s="206"/>
      <c r="CM174" s="206"/>
      <c r="CN174" s="206"/>
      <c r="CO174" s="206"/>
      <c r="CP174" s="206"/>
      <c r="CQ174" s="206"/>
      <c r="CR174" s="206"/>
      <c r="CS174" s="206"/>
      <c r="CT174" s="206"/>
      <c r="CU174" s="206"/>
      <c r="CV174" s="206"/>
      <c r="CW174" s="206"/>
      <c r="CX174" s="206"/>
      <c r="CY174" s="206"/>
      <c r="CZ174" s="206"/>
      <c r="DA174" s="206"/>
      <c r="DB174" s="206"/>
      <c r="DC174" s="206"/>
      <c r="DD174" s="206"/>
      <c r="DE174" s="206"/>
      <c r="DF174" s="206"/>
      <c r="DG174" s="206"/>
      <c r="DH174" s="206"/>
      <c r="DI174" s="206"/>
      <c r="DJ174" s="206"/>
      <c r="DK174" s="206"/>
      <c r="DL174" s="206"/>
      <c r="DM174" s="206"/>
      <c r="DN174" s="206"/>
      <c r="DO174" s="206"/>
      <c r="DP174" s="206"/>
      <c r="DQ174" s="206"/>
      <c r="DR174" s="206"/>
      <c r="DS174" s="206"/>
      <c r="DT174" s="206"/>
      <c r="DU174" s="206"/>
      <c r="DV174" s="206"/>
      <c r="DW174" s="206"/>
      <c r="DX174" s="206"/>
      <c r="DY174" s="206"/>
      <c r="DZ174" s="206"/>
      <c r="EA174" s="206"/>
      <c r="EB174" s="206"/>
      <c r="EC174" s="206"/>
      <c r="ED174" s="206"/>
      <c r="EE174" s="206"/>
      <c r="EF174" s="206"/>
      <c r="EG174" s="206"/>
      <c r="EH174" s="206"/>
      <c r="EI174" s="206"/>
      <c r="EJ174" s="206"/>
      <c r="EK174" s="206"/>
      <c r="EL174" s="206"/>
      <c r="EM174" s="206"/>
      <c r="EN174" s="206"/>
      <c r="EO174" s="206"/>
      <c r="EP174" s="206"/>
      <c r="EQ174" s="206"/>
      <c r="ER174" s="206"/>
      <c r="ES174" s="206"/>
      <c r="ET174" s="206"/>
      <c r="EU174" s="206"/>
      <c r="EV174" s="206"/>
      <c r="EW174" s="206"/>
      <c r="EX174" s="206"/>
      <c r="EY174" s="206"/>
      <c r="EZ174" s="206"/>
      <c r="FA174" s="206"/>
      <c r="FB174" s="206"/>
      <c r="FC174" s="206"/>
      <c r="FD174" s="206"/>
      <c r="FE174" s="206"/>
      <c r="FF174" s="206"/>
      <c r="FG174" s="206"/>
      <c r="FH174" s="206"/>
      <c r="FI174" s="206"/>
      <c r="FJ174" s="206"/>
      <c r="FK174" s="206"/>
      <c r="FL174" s="206"/>
      <c r="FM174" s="206"/>
      <c r="FN174" s="206"/>
      <c r="FO174" s="206"/>
      <c r="FP174" s="206"/>
      <c r="FQ174" s="206"/>
      <c r="FR174" s="206"/>
      <c r="FS174" s="206"/>
      <c r="FT174" s="206"/>
      <c r="FU174" s="206"/>
      <c r="FV174" s="206"/>
      <c r="FW174" s="206"/>
      <c r="FX174" s="206"/>
      <c r="FY174" s="206"/>
      <c r="FZ174" s="206"/>
      <c r="GA174" s="46"/>
      <c r="GD174" s="192">
        <f>M160</f>
        <v>0</v>
      </c>
      <c r="GE174" s="192">
        <f>N160</f>
        <v>0</v>
      </c>
      <c r="GF174" s="193" t="str">
        <f>MID(Q160,1,50) &amp; LEN(Q160)</f>
        <v>0</v>
      </c>
      <c r="GG174" s="193">
        <f>S160</f>
        <v>0</v>
      </c>
      <c r="GH174" s="194" t="str">
        <f t="shared" si="147"/>
        <v>Опилки :: ACTI</v>
      </c>
      <c r="GI174" s="194" t="str">
        <f t="shared" si="148"/>
        <v>0::0::0::0::Опилки :: ACTI</v>
      </c>
      <c r="GJ174" s="10"/>
      <c r="GK174" s="10"/>
      <c r="GL174" s="10"/>
      <c r="GM174" s="10"/>
    </row>
    <row r="175" spans="6:195" s="75" customFormat="1" ht="12" hidden="1" customHeight="1">
      <c r="F175" s="200"/>
      <c r="G175" s="406"/>
      <c r="H175" s="411"/>
      <c r="I175" s="412"/>
      <c r="J175" s="409"/>
      <c r="K175" s="407"/>
      <c r="L175" s="409"/>
      <c r="M175" s="410"/>
      <c r="N175" s="410"/>
      <c r="O175" s="410"/>
      <c r="P175" s="409"/>
      <c r="Q175" s="422"/>
      <c r="R175" s="409"/>
      <c r="S175" s="410"/>
      <c r="T175" s="409"/>
      <c r="U175" s="409"/>
      <c r="V175" s="409"/>
      <c r="W175" s="409"/>
      <c r="X175" s="409"/>
      <c r="Y175" s="409"/>
      <c r="Z175" s="112"/>
      <c r="AA175" s="110" t="s">
        <v>1726</v>
      </c>
      <c r="AB175" s="113" t="s">
        <v>1735</v>
      </c>
      <c r="AC175" s="121" t="str">
        <f t="shared" si="150"/>
        <v>Торф</v>
      </c>
      <c r="AD175" s="191" t="str">
        <f t="shared" si="142"/>
        <v>Торф :: ACTI</v>
      </c>
      <c r="AE175" s="218"/>
      <c r="AF175" s="218"/>
      <c r="AG175" s="116">
        <f t="shared" si="143"/>
        <v>0</v>
      </c>
      <c r="AH175" s="116">
        <f t="shared" si="144"/>
        <v>0</v>
      </c>
      <c r="AI175" s="115"/>
      <c r="AJ175" s="116">
        <f t="shared" si="145"/>
        <v>0</v>
      </c>
      <c r="AK175" s="116">
        <f>SUMIF(Т!$GI$45:$GI$66,$GI175,Т!AK$45:AK$66)</f>
        <v>0</v>
      </c>
      <c r="AL175" s="116">
        <f>SUMIF(Т!$GI$45:$GI$66,$GI175,Т!AN$45:AN$66)</f>
        <v>0</v>
      </c>
      <c r="AM175" s="115"/>
      <c r="AN175" s="115"/>
      <c r="AO175" s="115"/>
      <c r="AP175" s="115"/>
      <c r="AQ175" s="115"/>
      <c r="AR175" s="115"/>
      <c r="AS175" s="115"/>
      <c r="AT175" s="115"/>
      <c r="AU175" s="115"/>
      <c r="AV175" s="115"/>
      <c r="AW175" s="115"/>
      <c r="AX175" s="115"/>
      <c r="AY175" s="115"/>
      <c r="AZ175" s="115"/>
      <c r="BA175" s="115"/>
      <c r="BB175" s="115"/>
      <c r="BC175" s="115"/>
      <c r="BD175" s="115"/>
      <c r="BE175" s="232" t="str">
        <f>IF($G160="","ACTI","DELD")</f>
        <v>ACTI</v>
      </c>
      <c r="BF175" s="119" t="str">
        <f>$I160 &amp; "." &amp; $AA175 &amp; ".1"</f>
        <v>.12.1</v>
      </c>
      <c r="BG175" s="115"/>
      <c r="BH175" s="115"/>
      <c r="BI175" s="115"/>
      <c r="BJ175" s="201"/>
      <c r="BK175" s="236">
        <f t="shared" si="146"/>
        <v>0</v>
      </c>
      <c r="BL175" s="9"/>
      <c r="BM175" s="9"/>
      <c r="BN175" s="9"/>
      <c r="BO175" s="9"/>
      <c r="BP175" s="205"/>
      <c r="BQ175" s="9"/>
      <c r="BR175" s="206"/>
      <c r="BS175" s="206"/>
      <c r="BT175" s="206"/>
      <c r="BU175" s="206"/>
      <c r="BV175" s="206"/>
      <c r="BW175" s="206"/>
      <c r="BX175" s="206"/>
      <c r="BY175" s="206"/>
      <c r="BZ175" s="206"/>
      <c r="CA175" s="206"/>
      <c r="CB175" s="206"/>
      <c r="CC175" s="206"/>
      <c r="CD175" s="206"/>
      <c r="CE175" s="206"/>
      <c r="CF175" s="206"/>
      <c r="CG175" s="206"/>
      <c r="CH175" s="206"/>
      <c r="CI175" s="206"/>
      <c r="CJ175" s="206"/>
      <c r="CK175" s="206"/>
      <c r="CL175" s="206"/>
      <c r="CM175" s="206"/>
      <c r="CN175" s="206"/>
      <c r="CO175" s="206"/>
      <c r="CP175" s="206"/>
      <c r="CQ175" s="206"/>
      <c r="CR175" s="206"/>
      <c r="CS175" s="206"/>
      <c r="CT175" s="206"/>
      <c r="CU175" s="206"/>
      <c r="CV175" s="206"/>
      <c r="CW175" s="206"/>
      <c r="CX175" s="206"/>
      <c r="CY175" s="206"/>
      <c r="CZ175" s="206"/>
      <c r="DA175" s="206"/>
      <c r="DB175" s="206"/>
      <c r="DC175" s="206"/>
      <c r="DD175" s="206"/>
      <c r="DE175" s="206"/>
      <c r="DF175" s="206"/>
      <c r="DG175" s="206"/>
      <c r="DH175" s="206"/>
      <c r="DI175" s="206"/>
      <c r="DJ175" s="206"/>
      <c r="DK175" s="206"/>
      <c r="DL175" s="206"/>
      <c r="DM175" s="206"/>
      <c r="DN175" s="206"/>
      <c r="DO175" s="206"/>
      <c r="DP175" s="206"/>
      <c r="DQ175" s="206"/>
      <c r="DR175" s="206"/>
      <c r="DS175" s="206"/>
      <c r="DT175" s="206"/>
      <c r="DU175" s="206"/>
      <c r="DV175" s="206"/>
      <c r="DW175" s="206"/>
      <c r="DX175" s="206"/>
      <c r="DY175" s="206"/>
      <c r="DZ175" s="206"/>
      <c r="EA175" s="206"/>
      <c r="EB175" s="206"/>
      <c r="EC175" s="206"/>
      <c r="ED175" s="206"/>
      <c r="EE175" s="206"/>
      <c r="EF175" s="206"/>
      <c r="EG175" s="206"/>
      <c r="EH175" s="206"/>
      <c r="EI175" s="206"/>
      <c r="EJ175" s="206"/>
      <c r="EK175" s="206"/>
      <c r="EL175" s="206"/>
      <c r="EM175" s="206"/>
      <c r="EN175" s="206"/>
      <c r="EO175" s="206"/>
      <c r="EP175" s="206"/>
      <c r="EQ175" s="206"/>
      <c r="ER175" s="206"/>
      <c r="ES175" s="206"/>
      <c r="ET175" s="206"/>
      <c r="EU175" s="206"/>
      <c r="EV175" s="206"/>
      <c r="EW175" s="206"/>
      <c r="EX175" s="206"/>
      <c r="EY175" s="206"/>
      <c r="EZ175" s="206"/>
      <c r="FA175" s="206"/>
      <c r="FB175" s="206"/>
      <c r="FC175" s="206"/>
      <c r="FD175" s="206"/>
      <c r="FE175" s="206"/>
      <c r="FF175" s="206"/>
      <c r="FG175" s="206"/>
      <c r="FH175" s="206"/>
      <c r="FI175" s="206"/>
      <c r="FJ175" s="206"/>
      <c r="FK175" s="206"/>
      <c r="FL175" s="206"/>
      <c r="FM175" s="206"/>
      <c r="FN175" s="206"/>
      <c r="FO175" s="206"/>
      <c r="FP175" s="206"/>
      <c r="FQ175" s="206"/>
      <c r="FR175" s="206"/>
      <c r="FS175" s="206"/>
      <c r="FT175" s="206"/>
      <c r="FU175" s="206"/>
      <c r="FV175" s="206"/>
      <c r="FW175" s="206"/>
      <c r="FX175" s="206"/>
      <c r="FY175" s="206"/>
      <c r="FZ175" s="206"/>
      <c r="GA175" s="46"/>
      <c r="GD175" s="192">
        <f>M160</f>
        <v>0</v>
      </c>
      <c r="GE175" s="192">
        <f>N160</f>
        <v>0</v>
      </c>
      <c r="GF175" s="193" t="str">
        <f>MID(Q160,1,50) &amp; LEN(Q160)</f>
        <v>0</v>
      </c>
      <c r="GG175" s="193">
        <f>S160</f>
        <v>0</v>
      </c>
      <c r="GH175" s="194" t="str">
        <f t="shared" si="147"/>
        <v>Торф :: ACTI</v>
      </c>
      <c r="GI175" s="194" t="str">
        <f t="shared" si="148"/>
        <v>0::0::0::0::Торф :: ACTI</v>
      </c>
      <c r="GJ175" s="10"/>
      <c r="GK175" s="10"/>
      <c r="GL175" s="10"/>
      <c r="GM175" s="10"/>
    </row>
    <row r="176" spans="6:195" s="75" customFormat="1" ht="12" hidden="1" customHeight="1">
      <c r="F176" s="200"/>
      <c r="G176" s="406"/>
      <c r="H176" s="411"/>
      <c r="I176" s="412"/>
      <c r="J176" s="409"/>
      <c r="K176" s="407"/>
      <c r="L176" s="409"/>
      <c r="M176" s="410"/>
      <c r="N176" s="410"/>
      <c r="O176" s="410"/>
      <c r="P176" s="409"/>
      <c r="Q176" s="422"/>
      <c r="R176" s="409"/>
      <c r="S176" s="410"/>
      <c r="T176" s="409"/>
      <c r="U176" s="409"/>
      <c r="V176" s="409"/>
      <c r="W176" s="409"/>
      <c r="X176" s="409"/>
      <c r="Y176" s="409"/>
      <c r="Z176" s="112"/>
      <c r="AA176" s="111" t="s">
        <v>1727</v>
      </c>
      <c r="AB176" s="113" t="s">
        <v>1734</v>
      </c>
      <c r="AC176" s="121" t="str">
        <f t="shared" si="150"/>
        <v>Сланцы</v>
      </c>
      <c r="AD176" s="191" t="str">
        <f t="shared" si="142"/>
        <v>Сланцы :: ACTI</v>
      </c>
      <c r="AE176" s="218"/>
      <c r="AF176" s="218"/>
      <c r="AG176" s="116">
        <f t="shared" si="143"/>
        <v>0</v>
      </c>
      <c r="AH176" s="116">
        <f t="shared" si="144"/>
        <v>0</v>
      </c>
      <c r="AI176" s="115"/>
      <c r="AJ176" s="116">
        <f t="shared" si="145"/>
        <v>0</v>
      </c>
      <c r="AK176" s="116">
        <f>SUMIF(Т!$GI$45:$GI$66,$GI176,Т!AK$45:AK$66)</f>
        <v>0</v>
      </c>
      <c r="AL176" s="116">
        <f>SUMIF(Т!$GI$45:$GI$66,$GI176,Т!AN$45:AN$66)</f>
        <v>0</v>
      </c>
      <c r="AM176" s="115"/>
      <c r="AN176" s="115"/>
      <c r="AO176" s="115"/>
      <c r="AP176" s="115"/>
      <c r="AQ176" s="115"/>
      <c r="AR176" s="115"/>
      <c r="AS176" s="115"/>
      <c r="AT176" s="115"/>
      <c r="AU176" s="115"/>
      <c r="AV176" s="115"/>
      <c r="AW176" s="115"/>
      <c r="AX176" s="115"/>
      <c r="AY176" s="115"/>
      <c r="AZ176" s="115"/>
      <c r="BA176" s="115"/>
      <c r="BB176" s="115"/>
      <c r="BC176" s="115"/>
      <c r="BD176" s="115"/>
      <c r="BE176" s="232" t="str">
        <f>IF($G160="","ACTI","DELD")</f>
        <v>ACTI</v>
      </c>
      <c r="BF176" s="119" t="str">
        <f>$I160 &amp; "." &amp; $AA176 &amp; ".1"</f>
        <v>.13.1</v>
      </c>
      <c r="BG176" s="115"/>
      <c r="BH176" s="115"/>
      <c r="BI176" s="115"/>
      <c r="BJ176" s="201"/>
      <c r="BK176" s="236">
        <f t="shared" si="146"/>
        <v>0</v>
      </c>
      <c r="BL176" s="9"/>
      <c r="BM176" s="9"/>
      <c r="BN176" s="9"/>
      <c r="BO176" s="9"/>
      <c r="BP176" s="205"/>
      <c r="BQ176" s="9"/>
      <c r="BR176" s="206"/>
      <c r="BS176" s="206"/>
      <c r="BT176" s="206"/>
      <c r="BU176" s="206"/>
      <c r="BV176" s="206"/>
      <c r="BW176" s="206"/>
      <c r="BX176" s="206"/>
      <c r="BY176" s="206"/>
      <c r="BZ176" s="206"/>
      <c r="CA176" s="206"/>
      <c r="CB176" s="206"/>
      <c r="CC176" s="206"/>
      <c r="CD176" s="206"/>
      <c r="CE176" s="206"/>
      <c r="CF176" s="206"/>
      <c r="CG176" s="206"/>
      <c r="CH176" s="206"/>
      <c r="CI176" s="206"/>
      <c r="CJ176" s="206"/>
      <c r="CK176" s="206"/>
      <c r="CL176" s="206"/>
      <c r="CM176" s="206"/>
      <c r="CN176" s="206"/>
      <c r="CO176" s="206"/>
      <c r="CP176" s="206"/>
      <c r="CQ176" s="206"/>
      <c r="CR176" s="206"/>
      <c r="CS176" s="206"/>
      <c r="CT176" s="206"/>
      <c r="CU176" s="206"/>
      <c r="CV176" s="206"/>
      <c r="CW176" s="206"/>
      <c r="CX176" s="206"/>
      <c r="CY176" s="206"/>
      <c r="CZ176" s="206"/>
      <c r="DA176" s="206"/>
      <c r="DB176" s="206"/>
      <c r="DC176" s="206"/>
      <c r="DD176" s="206"/>
      <c r="DE176" s="206"/>
      <c r="DF176" s="206"/>
      <c r="DG176" s="206"/>
      <c r="DH176" s="206"/>
      <c r="DI176" s="206"/>
      <c r="DJ176" s="206"/>
      <c r="DK176" s="206"/>
      <c r="DL176" s="206"/>
      <c r="DM176" s="206"/>
      <c r="DN176" s="206"/>
      <c r="DO176" s="206"/>
      <c r="DP176" s="206"/>
      <c r="DQ176" s="206"/>
      <c r="DR176" s="206"/>
      <c r="DS176" s="206"/>
      <c r="DT176" s="206"/>
      <c r="DU176" s="206"/>
      <c r="DV176" s="206"/>
      <c r="DW176" s="206"/>
      <c r="DX176" s="206"/>
      <c r="DY176" s="206"/>
      <c r="DZ176" s="206"/>
      <c r="EA176" s="206"/>
      <c r="EB176" s="206"/>
      <c r="EC176" s="206"/>
      <c r="ED176" s="206"/>
      <c r="EE176" s="206"/>
      <c r="EF176" s="206"/>
      <c r="EG176" s="206"/>
      <c r="EH176" s="206"/>
      <c r="EI176" s="206"/>
      <c r="EJ176" s="206"/>
      <c r="EK176" s="206"/>
      <c r="EL176" s="206"/>
      <c r="EM176" s="206"/>
      <c r="EN176" s="206"/>
      <c r="EO176" s="206"/>
      <c r="EP176" s="206"/>
      <c r="EQ176" s="206"/>
      <c r="ER176" s="206"/>
      <c r="ES176" s="206"/>
      <c r="ET176" s="206"/>
      <c r="EU176" s="206"/>
      <c r="EV176" s="206"/>
      <c r="EW176" s="206"/>
      <c r="EX176" s="206"/>
      <c r="EY176" s="206"/>
      <c r="EZ176" s="206"/>
      <c r="FA176" s="206"/>
      <c r="FB176" s="206"/>
      <c r="FC176" s="206"/>
      <c r="FD176" s="206"/>
      <c r="FE176" s="206"/>
      <c r="FF176" s="206"/>
      <c r="FG176" s="206"/>
      <c r="FH176" s="206"/>
      <c r="FI176" s="206"/>
      <c r="FJ176" s="206"/>
      <c r="FK176" s="206"/>
      <c r="FL176" s="206"/>
      <c r="FM176" s="206"/>
      <c r="FN176" s="206"/>
      <c r="FO176" s="206"/>
      <c r="FP176" s="206"/>
      <c r="FQ176" s="206"/>
      <c r="FR176" s="206"/>
      <c r="FS176" s="206"/>
      <c r="FT176" s="206"/>
      <c r="FU176" s="206"/>
      <c r="FV176" s="206"/>
      <c r="FW176" s="206"/>
      <c r="FX176" s="206"/>
      <c r="FY176" s="206"/>
      <c r="FZ176" s="206"/>
      <c r="GA176" s="46"/>
      <c r="GD176" s="192">
        <f>M160</f>
        <v>0</v>
      </c>
      <c r="GE176" s="192">
        <f>N160</f>
        <v>0</v>
      </c>
      <c r="GF176" s="193" t="str">
        <f>MID(Q160,1,50) &amp; LEN(Q160)</f>
        <v>0</v>
      </c>
      <c r="GG176" s="193">
        <f>S160</f>
        <v>0</v>
      </c>
      <c r="GH176" s="194" t="str">
        <f t="shared" si="147"/>
        <v>Сланцы :: ACTI</v>
      </c>
      <c r="GI176" s="194" t="str">
        <f t="shared" si="148"/>
        <v>0::0::0::0::Сланцы :: ACTI</v>
      </c>
      <c r="GJ176" s="10"/>
      <c r="GK176" s="10"/>
      <c r="GL176" s="10"/>
      <c r="GM176" s="10"/>
    </row>
    <row r="177" spans="6:195" s="75" customFormat="1" ht="12" hidden="1" customHeight="1">
      <c r="F177" s="200"/>
      <c r="G177" s="406"/>
      <c r="H177" s="411"/>
      <c r="I177" s="412"/>
      <c r="J177" s="409"/>
      <c r="K177" s="407"/>
      <c r="L177" s="409"/>
      <c r="M177" s="410"/>
      <c r="N177" s="410"/>
      <c r="O177" s="410"/>
      <c r="P177" s="409"/>
      <c r="Q177" s="422"/>
      <c r="R177" s="409"/>
      <c r="S177" s="410"/>
      <c r="T177" s="409"/>
      <c r="U177" s="409"/>
      <c r="V177" s="409"/>
      <c r="W177" s="409"/>
      <c r="X177" s="409"/>
      <c r="Y177" s="409"/>
      <c r="Z177" s="112"/>
      <c r="AA177" s="110" t="s">
        <v>1728</v>
      </c>
      <c r="AB177" s="113" t="s">
        <v>1746</v>
      </c>
      <c r="AC177" s="121" t="str">
        <f t="shared" si="150"/>
        <v>Печное бытовое топливо</v>
      </c>
      <c r="AD177" s="191" t="str">
        <f t="shared" si="142"/>
        <v>Печное бытовое топливо :: ACTI</v>
      </c>
      <c r="AE177" s="218"/>
      <c r="AF177" s="218"/>
      <c r="AG177" s="116">
        <f t="shared" si="143"/>
        <v>0</v>
      </c>
      <c r="AH177" s="116">
        <f t="shared" si="144"/>
        <v>0</v>
      </c>
      <c r="AI177" s="115"/>
      <c r="AJ177" s="116">
        <f t="shared" si="145"/>
        <v>0</v>
      </c>
      <c r="AK177" s="116">
        <f>SUMIF(Т!$GI$45:$GI$66,$GI177,Т!AK$45:AK$66)</f>
        <v>0</v>
      </c>
      <c r="AL177" s="116">
        <f>SUMIF(Т!$GI$45:$GI$66,$GI177,Т!AN$45:AN$66)</f>
        <v>0</v>
      </c>
      <c r="AM177" s="115"/>
      <c r="AN177" s="115"/>
      <c r="AO177" s="115"/>
      <c r="AP177" s="115"/>
      <c r="AQ177" s="115"/>
      <c r="AR177" s="115"/>
      <c r="AS177" s="115"/>
      <c r="AT177" s="115"/>
      <c r="AU177" s="115"/>
      <c r="AV177" s="115"/>
      <c r="AW177" s="115"/>
      <c r="AX177" s="115"/>
      <c r="AY177" s="115"/>
      <c r="AZ177" s="115"/>
      <c r="BA177" s="115"/>
      <c r="BB177" s="115"/>
      <c r="BC177" s="115"/>
      <c r="BD177" s="115"/>
      <c r="BE177" s="232" t="str">
        <f>IF($G160="","ACTI","DELD")</f>
        <v>ACTI</v>
      </c>
      <c r="BF177" s="119" t="str">
        <f>$I160 &amp; "." &amp; $AA177 &amp; ".1"</f>
        <v>.14.1</v>
      </c>
      <c r="BG177" s="115"/>
      <c r="BH177" s="115"/>
      <c r="BI177" s="115"/>
      <c r="BJ177" s="201"/>
      <c r="BK177" s="236">
        <f t="shared" si="146"/>
        <v>0</v>
      </c>
      <c r="BL177" s="9"/>
      <c r="BM177" s="9"/>
      <c r="BN177" s="9"/>
      <c r="BO177" s="9"/>
      <c r="BP177" s="205"/>
      <c r="BQ177" s="9"/>
      <c r="BR177" s="206"/>
      <c r="BS177" s="206"/>
      <c r="BT177" s="206"/>
      <c r="BU177" s="206"/>
      <c r="BV177" s="206"/>
      <c r="BW177" s="206"/>
      <c r="BX177" s="206"/>
      <c r="BY177" s="206"/>
      <c r="BZ177" s="206"/>
      <c r="CA177" s="206"/>
      <c r="CB177" s="206"/>
      <c r="CC177" s="206"/>
      <c r="CD177" s="206"/>
      <c r="CE177" s="206"/>
      <c r="CF177" s="206"/>
      <c r="CG177" s="206"/>
      <c r="CH177" s="206"/>
      <c r="CI177" s="206"/>
      <c r="CJ177" s="206"/>
      <c r="CK177" s="206"/>
      <c r="CL177" s="206"/>
      <c r="CM177" s="206"/>
      <c r="CN177" s="206"/>
      <c r="CO177" s="206"/>
      <c r="CP177" s="206"/>
      <c r="CQ177" s="206"/>
      <c r="CR177" s="206"/>
      <c r="CS177" s="206"/>
      <c r="CT177" s="206"/>
      <c r="CU177" s="206"/>
      <c r="CV177" s="206"/>
      <c r="CW177" s="206"/>
      <c r="CX177" s="206"/>
      <c r="CY177" s="206"/>
      <c r="CZ177" s="206"/>
      <c r="DA177" s="206"/>
      <c r="DB177" s="206"/>
      <c r="DC177" s="206"/>
      <c r="DD177" s="206"/>
      <c r="DE177" s="206"/>
      <c r="DF177" s="206"/>
      <c r="DG177" s="206"/>
      <c r="DH177" s="206"/>
      <c r="DI177" s="206"/>
      <c r="DJ177" s="206"/>
      <c r="DK177" s="206"/>
      <c r="DL177" s="206"/>
      <c r="DM177" s="206"/>
      <c r="DN177" s="206"/>
      <c r="DO177" s="206"/>
      <c r="DP177" s="206"/>
      <c r="DQ177" s="206"/>
      <c r="DR177" s="206"/>
      <c r="DS177" s="206"/>
      <c r="DT177" s="206"/>
      <c r="DU177" s="206"/>
      <c r="DV177" s="206"/>
      <c r="DW177" s="206"/>
      <c r="DX177" s="206"/>
      <c r="DY177" s="206"/>
      <c r="DZ177" s="206"/>
      <c r="EA177" s="206"/>
      <c r="EB177" s="206"/>
      <c r="EC177" s="206"/>
      <c r="ED177" s="206"/>
      <c r="EE177" s="206"/>
      <c r="EF177" s="206"/>
      <c r="EG177" s="206"/>
      <c r="EH177" s="206"/>
      <c r="EI177" s="206"/>
      <c r="EJ177" s="206"/>
      <c r="EK177" s="206"/>
      <c r="EL177" s="206"/>
      <c r="EM177" s="206"/>
      <c r="EN177" s="206"/>
      <c r="EO177" s="206"/>
      <c r="EP177" s="206"/>
      <c r="EQ177" s="206"/>
      <c r="ER177" s="206"/>
      <c r="ES177" s="206"/>
      <c r="ET177" s="206"/>
      <c r="EU177" s="206"/>
      <c r="EV177" s="206"/>
      <c r="EW177" s="206"/>
      <c r="EX177" s="206"/>
      <c r="EY177" s="206"/>
      <c r="EZ177" s="206"/>
      <c r="FA177" s="206"/>
      <c r="FB177" s="206"/>
      <c r="FC177" s="206"/>
      <c r="FD177" s="206"/>
      <c r="FE177" s="206"/>
      <c r="FF177" s="206"/>
      <c r="FG177" s="206"/>
      <c r="FH177" s="206"/>
      <c r="FI177" s="206"/>
      <c r="FJ177" s="206"/>
      <c r="FK177" s="206"/>
      <c r="FL177" s="206"/>
      <c r="FM177" s="206"/>
      <c r="FN177" s="206"/>
      <c r="FO177" s="206"/>
      <c r="FP177" s="206"/>
      <c r="FQ177" s="206"/>
      <c r="FR177" s="206"/>
      <c r="FS177" s="206"/>
      <c r="FT177" s="206"/>
      <c r="FU177" s="206"/>
      <c r="FV177" s="206"/>
      <c r="FW177" s="206"/>
      <c r="FX177" s="206"/>
      <c r="FY177" s="206"/>
      <c r="FZ177" s="206"/>
      <c r="GA177" s="46"/>
      <c r="GD177" s="192">
        <f>M160</f>
        <v>0</v>
      </c>
      <c r="GE177" s="192">
        <f>N160</f>
        <v>0</v>
      </c>
      <c r="GF177" s="193" t="str">
        <f>MID(Q160,1,50) &amp; LEN(Q160)</f>
        <v>0</v>
      </c>
      <c r="GG177" s="193">
        <f>S160</f>
        <v>0</v>
      </c>
      <c r="GH177" s="194" t="str">
        <f t="shared" si="147"/>
        <v>Печное бытовое топливо :: ACTI</v>
      </c>
      <c r="GI177" s="194" t="str">
        <f t="shared" si="148"/>
        <v>0::0::0::0::Печное бытовое топливо :: ACTI</v>
      </c>
      <c r="GJ177" s="10"/>
      <c r="GK177" s="10"/>
      <c r="GL177" s="10"/>
      <c r="GM177" s="10"/>
    </row>
    <row r="178" spans="6:195" s="75" customFormat="1" ht="12" hidden="1" customHeight="1">
      <c r="F178" s="200"/>
      <c r="G178" s="406"/>
      <c r="H178" s="411"/>
      <c r="I178" s="412"/>
      <c r="J178" s="409"/>
      <c r="K178" s="407"/>
      <c r="L178" s="409"/>
      <c r="M178" s="410"/>
      <c r="N178" s="410"/>
      <c r="O178" s="410"/>
      <c r="P178" s="409"/>
      <c r="Q178" s="422"/>
      <c r="R178" s="409"/>
      <c r="S178" s="410"/>
      <c r="T178" s="409"/>
      <c r="U178" s="409"/>
      <c r="V178" s="409"/>
      <c r="W178" s="409"/>
      <c r="X178" s="409"/>
      <c r="Y178" s="409"/>
      <c r="Z178" s="112"/>
      <c r="AA178" s="111" t="s">
        <v>1729</v>
      </c>
      <c r="AB178" s="113" t="s">
        <v>1747</v>
      </c>
      <c r="AC178" s="121" t="str">
        <f>AB178</f>
        <v>Прочие виды топлива</v>
      </c>
      <c r="AD178" s="191" t="str">
        <f t="shared" si="142"/>
        <v>Прочие виды топлива :: ACTI</v>
      </c>
      <c r="AE178" s="115"/>
      <c r="AF178" s="218"/>
      <c r="AG178" s="115"/>
      <c r="AH178" s="116">
        <f t="shared" si="144"/>
        <v>0</v>
      </c>
      <c r="AI178" s="115"/>
      <c r="AJ178" s="116">
        <f t="shared" si="145"/>
        <v>0</v>
      </c>
      <c r="AK178" s="115"/>
      <c r="AL178" s="116">
        <f>SUMIF(Т!$GI$45:$GI$66,$GI178,Т!AN$45:AN$66)</f>
        <v>0</v>
      </c>
      <c r="AM178" s="115"/>
      <c r="AN178" s="115"/>
      <c r="AO178" s="115"/>
      <c r="AP178" s="115"/>
      <c r="AQ178" s="115"/>
      <c r="AR178" s="115"/>
      <c r="AS178" s="115"/>
      <c r="AT178" s="115"/>
      <c r="AU178" s="115"/>
      <c r="AV178" s="115"/>
      <c r="AW178" s="115"/>
      <c r="AX178" s="115"/>
      <c r="AY178" s="115"/>
      <c r="AZ178" s="115"/>
      <c r="BA178" s="115"/>
      <c r="BB178" s="115"/>
      <c r="BC178" s="115"/>
      <c r="BD178" s="115"/>
      <c r="BE178" s="232" t="str">
        <f>IF($G160="","ACTI","DELD")</f>
        <v>ACTI</v>
      </c>
      <c r="BF178" s="119" t="str">
        <f>$I160 &amp; "." &amp; $AA178 &amp; ".1"</f>
        <v>.15.1</v>
      </c>
      <c r="BG178" s="115"/>
      <c r="BH178" s="115"/>
      <c r="BI178" s="115"/>
      <c r="BJ178" s="201"/>
      <c r="BK178" s="236">
        <f t="shared" si="146"/>
        <v>0</v>
      </c>
      <c r="BL178" s="9"/>
      <c r="BM178" s="9"/>
      <c r="BN178" s="9"/>
      <c r="BO178" s="9"/>
      <c r="BP178" s="205"/>
      <c r="BQ178" s="9"/>
      <c r="BR178" s="206"/>
      <c r="BS178" s="206"/>
      <c r="BT178" s="206"/>
      <c r="BU178" s="206"/>
      <c r="BV178" s="206"/>
      <c r="BW178" s="206"/>
      <c r="BX178" s="206"/>
      <c r="BY178" s="206"/>
      <c r="BZ178" s="206"/>
      <c r="CA178" s="206"/>
      <c r="CB178" s="206"/>
      <c r="CC178" s="206"/>
      <c r="CD178" s="206"/>
      <c r="CE178" s="206"/>
      <c r="CF178" s="206"/>
      <c r="CG178" s="206"/>
      <c r="CH178" s="206"/>
      <c r="CI178" s="206"/>
      <c r="CJ178" s="206"/>
      <c r="CK178" s="206"/>
      <c r="CL178" s="206"/>
      <c r="CM178" s="206"/>
      <c r="CN178" s="206"/>
      <c r="CO178" s="206"/>
      <c r="CP178" s="206"/>
      <c r="CQ178" s="206"/>
      <c r="CR178" s="206"/>
      <c r="CS178" s="206"/>
      <c r="CT178" s="206"/>
      <c r="CU178" s="206"/>
      <c r="CV178" s="206"/>
      <c r="CW178" s="206"/>
      <c r="CX178" s="206"/>
      <c r="CY178" s="206"/>
      <c r="CZ178" s="206"/>
      <c r="DA178" s="206"/>
      <c r="DB178" s="206"/>
      <c r="DC178" s="206"/>
      <c r="DD178" s="206"/>
      <c r="DE178" s="206"/>
      <c r="DF178" s="206"/>
      <c r="DG178" s="206"/>
      <c r="DH178" s="206"/>
      <c r="DI178" s="206"/>
      <c r="DJ178" s="206"/>
      <c r="DK178" s="206"/>
      <c r="DL178" s="206"/>
      <c r="DM178" s="206"/>
      <c r="DN178" s="206"/>
      <c r="DO178" s="206"/>
      <c r="DP178" s="206"/>
      <c r="DQ178" s="206"/>
      <c r="DR178" s="206"/>
      <c r="DS178" s="206"/>
      <c r="DT178" s="206"/>
      <c r="DU178" s="206"/>
      <c r="DV178" s="206"/>
      <c r="DW178" s="206"/>
      <c r="DX178" s="206"/>
      <c r="DY178" s="206"/>
      <c r="DZ178" s="206"/>
      <c r="EA178" s="206"/>
      <c r="EB178" s="206"/>
      <c r="EC178" s="206"/>
      <c r="ED178" s="206"/>
      <c r="EE178" s="206"/>
      <c r="EF178" s="206"/>
      <c r="EG178" s="206"/>
      <c r="EH178" s="206"/>
      <c r="EI178" s="206"/>
      <c r="EJ178" s="206"/>
      <c r="EK178" s="206"/>
      <c r="EL178" s="206"/>
      <c r="EM178" s="206"/>
      <c r="EN178" s="206"/>
      <c r="EO178" s="206"/>
      <c r="EP178" s="206"/>
      <c r="EQ178" s="206"/>
      <c r="ER178" s="206"/>
      <c r="ES178" s="206"/>
      <c r="ET178" s="206"/>
      <c r="EU178" s="206"/>
      <c r="EV178" s="206"/>
      <c r="EW178" s="206"/>
      <c r="EX178" s="206"/>
      <c r="EY178" s="206"/>
      <c r="EZ178" s="206"/>
      <c r="FA178" s="206"/>
      <c r="FB178" s="206"/>
      <c r="FC178" s="206"/>
      <c r="FD178" s="206"/>
      <c r="FE178" s="206"/>
      <c r="FF178" s="206"/>
      <c r="FG178" s="206"/>
      <c r="FH178" s="206"/>
      <c r="FI178" s="206"/>
      <c r="FJ178" s="206"/>
      <c r="FK178" s="206"/>
      <c r="FL178" s="206"/>
      <c r="FM178" s="206"/>
      <c r="FN178" s="206"/>
      <c r="FO178" s="206"/>
      <c r="FP178" s="206"/>
      <c r="FQ178" s="206"/>
      <c r="FR178" s="206"/>
      <c r="FS178" s="206"/>
      <c r="FT178" s="206"/>
      <c r="FU178" s="206"/>
      <c r="FV178" s="206"/>
      <c r="FW178" s="206"/>
      <c r="FX178" s="206"/>
      <c r="FY178" s="206"/>
      <c r="FZ178" s="206"/>
      <c r="GA178" s="46"/>
      <c r="GD178" s="192">
        <f>M160</f>
        <v>0</v>
      </c>
      <c r="GE178" s="192">
        <f>N160</f>
        <v>0</v>
      </c>
      <c r="GF178" s="193" t="str">
        <f>MID(Q160,1,50) &amp; LEN(Q160)</f>
        <v>0</v>
      </c>
      <c r="GG178" s="193">
        <f>S160</f>
        <v>0</v>
      </c>
      <c r="GH178" s="194" t="str">
        <f t="shared" si="147"/>
        <v>Прочие виды топлива :: ACTI</v>
      </c>
      <c r="GI178" s="194" t="str">
        <f t="shared" si="148"/>
        <v>0::0::0::0::Прочие виды топлива :: ACTI</v>
      </c>
      <c r="GJ178" s="10"/>
      <c r="GK178" s="10"/>
      <c r="GL178" s="10"/>
      <c r="GM178" s="10"/>
    </row>
    <row r="179" spans="6:195" s="75" customFormat="1" ht="12" customHeight="1">
      <c r="F179" s="200"/>
      <c r="G179" s="406"/>
      <c r="H179" s="411"/>
      <c r="I179" s="412"/>
      <c r="J179" s="408"/>
      <c r="K179" s="408"/>
      <c r="L179" s="408"/>
      <c r="M179" s="410"/>
      <c r="N179" s="410"/>
      <c r="O179" s="410"/>
      <c r="P179" s="408"/>
      <c r="Q179" s="422"/>
      <c r="R179" s="408"/>
      <c r="S179" s="410"/>
      <c r="T179" s="408"/>
      <c r="U179" s="408"/>
      <c r="V179" s="408"/>
      <c r="W179" s="408"/>
      <c r="X179" s="408"/>
      <c r="Y179" s="408"/>
      <c r="Z179" s="286" t="s">
        <v>1706</v>
      </c>
      <c r="AA179" s="286" t="s">
        <v>1724</v>
      </c>
      <c r="AB179" s="268"/>
      <c r="AC179" s="265"/>
      <c r="AD179" s="265"/>
      <c r="AE179" s="265"/>
      <c r="AF179" s="265"/>
      <c r="AG179" s="265"/>
      <c r="AH179" s="265"/>
      <c r="AI179" s="265"/>
      <c r="AJ179" s="265"/>
      <c r="AK179" s="265"/>
      <c r="AL179" s="265"/>
      <c r="AM179" s="265"/>
      <c r="AN179" s="265"/>
      <c r="AO179" s="265"/>
      <c r="AP179" s="265"/>
      <c r="AQ179" s="265"/>
      <c r="AR179" s="265"/>
      <c r="AS179" s="265"/>
      <c r="AT179" s="265"/>
      <c r="AU179" s="265"/>
      <c r="AV179" s="265"/>
      <c r="AW179" s="265"/>
      <c r="AX179" s="265"/>
      <c r="AY179" s="265"/>
      <c r="AZ179" s="265"/>
      <c r="BA179" s="265"/>
      <c r="BB179" s="265"/>
      <c r="BC179" s="265"/>
      <c r="BD179" s="265"/>
      <c r="BE179" s="265"/>
      <c r="BF179" s="265"/>
      <c r="BG179" s="265"/>
      <c r="BH179" s="265"/>
      <c r="BI179" s="265"/>
      <c r="BJ179" s="269"/>
      <c r="BK179" s="204"/>
      <c r="BL179" s="205"/>
      <c r="BM179" s="205"/>
      <c r="BN179" s="205"/>
      <c r="BO179" s="205"/>
      <c r="BP179" s="9"/>
      <c r="BQ179" s="207"/>
      <c r="BR179" s="208"/>
      <c r="BS179" s="208"/>
      <c r="BT179" s="208"/>
      <c r="BU179" s="208"/>
      <c r="BV179" s="208"/>
      <c r="BW179" s="208"/>
      <c r="BX179" s="208"/>
      <c r="BY179" s="208"/>
      <c r="BZ179" s="208"/>
      <c r="CA179" s="208"/>
      <c r="CB179" s="208"/>
      <c r="CC179" s="208"/>
      <c r="CD179" s="208"/>
      <c r="CE179" s="208"/>
      <c r="CF179" s="208"/>
      <c r="CG179" s="208"/>
      <c r="CH179" s="208"/>
      <c r="CI179" s="208"/>
      <c r="CJ179" s="208"/>
      <c r="CK179" s="208"/>
      <c r="CL179" s="208"/>
      <c r="CM179" s="208"/>
      <c r="CN179" s="208"/>
      <c r="CO179" s="208"/>
      <c r="CP179" s="208"/>
      <c r="CQ179" s="208"/>
      <c r="CR179" s="208"/>
      <c r="CS179" s="208"/>
      <c r="CT179" s="208"/>
      <c r="CU179" s="208"/>
      <c r="CV179" s="208"/>
      <c r="CW179" s="208"/>
      <c r="CX179" s="208"/>
      <c r="CY179" s="208"/>
      <c r="CZ179" s="208"/>
      <c r="DA179" s="208"/>
      <c r="DB179" s="208"/>
      <c r="DC179" s="208"/>
      <c r="DD179" s="208"/>
      <c r="DE179" s="208"/>
      <c r="DF179" s="208"/>
      <c r="DG179" s="208"/>
      <c r="DH179" s="208"/>
      <c r="DI179" s="208"/>
      <c r="DJ179" s="208"/>
      <c r="DK179" s="208"/>
      <c r="DL179" s="208"/>
      <c r="DM179" s="208"/>
      <c r="DN179" s="208"/>
      <c r="DO179" s="208"/>
      <c r="DP179" s="208"/>
      <c r="DQ179" s="208"/>
      <c r="DR179" s="208"/>
      <c r="DS179" s="208"/>
      <c r="DT179" s="208"/>
      <c r="DU179" s="208"/>
      <c r="DV179" s="208"/>
      <c r="DW179" s="208"/>
      <c r="DX179" s="208"/>
      <c r="DY179" s="208"/>
      <c r="DZ179" s="208"/>
      <c r="EA179" s="208"/>
      <c r="EB179" s="208"/>
      <c r="EC179" s="208"/>
      <c r="ED179" s="208"/>
      <c r="EE179" s="208"/>
      <c r="EF179" s="208"/>
      <c r="EG179" s="208"/>
      <c r="EH179" s="208"/>
      <c r="EI179" s="208"/>
      <c r="EJ179" s="208"/>
      <c r="EK179" s="208"/>
      <c r="EL179" s="208"/>
      <c r="EM179" s="208"/>
      <c r="EN179" s="208"/>
      <c r="EO179" s="208"/>
      <c r="EP179" s="208"/>
      <c r="EQ179" s="208"/>
      <c r="ER179" s="208"/>
      <c r="ES179" s="208"/>
      <c r="ET179" s="208"/>
      <c r="EU179" s="208"/>
      <c r="EV179" s="208"/>
      <c r="EW179" s="208"/>
      <c r="EX179" s="208"/>
      <c r="EY179" s="208"/>
      <c r="EZ179" s="208"/>
      <c r="FA179" s="208"/>
      <c r="FB179" s="208"/>
      <c r="FC179" s="208"/>
      <c r="FD179" s="208"/>
      <c r="FE179" s="208"/>
      <c r="FF179" s="208"/>
      <c r="FG179" s="208"/>
      <c r="FH179" s="208"/>
      <c r="FI179" s="208"/>
      <c r="FJ179" s="208"/>
      <c r="FK179" s="208"/>
      <c r="FL179" s="208"/>
      <c r="FM179" s="208"/>
      <c r="FN179" s="208"/>
      <c r="FO179" s="208"/>
      <c r="FP179" s="208"/>
      <c r="FQ179" s="208"/>
      <c r="FR179" s="208"/>
      <c r="FS179" s="208"/>
      <c r="FT179" s="208"/>
      <c r="FU179" s="208"/>
      <c r="FV179" s="208"/>
      <c r="FW179" s="208"/>
      <c r="FX179" s="208"/>
      <c r="FY179" s="208"/>
      <c r="FZ179" s="208"/>
      <c r="GA179" s="46"/>
      <c r="GD179" s="268"/>
      <c r="GE179" s="265"/>
      <c r="GF179" s="265"/>
      <c r="GG179" s="265"/>
      <c r="GH179" s="265"/>
      <c r="GI179" s="269"/>
      <c r="GJ179" s="10"/>
      <c r="GK179" s="10"/>
      <c r="GL179" s="10"/>
      <c r="GM179" s="10"/>
    </row>
    <row r="180" spans="6:195" customFormat="1" ht="12" customHeight="1"/>
    <row r="181" spans="6:195" customFormat="1" ht="12" customHeight="1"/>
    <row r="182" spans="6:195" customFormat="1" ht="12" customHeight="1">
      <c r="AE182" s="218"/>
      <c r="AF182" s="218"/>
      <c r="AG182" s="116">
        <f>AK182-$AE182</f>
        <v>0</v>
      </c>
      <c r="AH182" s="116">
        <f>AL182-$AF182</f>
        <v>0</v>
      </c>
      <c r="AI182" s="115"/>
      <c r="AJ182" s="116">
        <f>AL182-$AF182</f>
        <v>0</v>
      </c>
      <c r="AK182" s="116">
        <f>SUMIF(Т!$GI$45:$GI$66,$GI182,Т!AK$45:AK$66)</f>
        <v>0</v>
      </c>
      <c r="AL182" s="116">
        <f>SUMIF(Т!$GI$45:$GI$66,$GI182,Т!AN$45:AN$66)</f>
        <v>0</v>
      </c>
      <c r="AM182" s="116">
        <f>AQ182-$AE182</f>
        <v>0</v>
      </c>
      <c r="AN182" s="116">
        <f>AR182-$AF182</f>
        <v>0</v>
      </c>
      <c r="AO182" s="115"/>
      <c r="AP182" s="116">
        <f>AR182-$AF182/12*9</f>
        <v>0</v>
      </c>
      <c r="AQ182" s="116">
        <f>SUMIF(Т!$GI$45:$GI$66,$GI182,Т!BS$45:BS$66)</f>
        <v>0</v>
      </c>
      <c r="AR182" s="116">
        <f>SUMIF(Т!$GI$45:$GI$66,$GI182,Т!BV$45:BV$66)</f>
        <v>0</v>
      </c>
      <c r="AS182" s="116">
        <f>AW182-$AE182</f>
        <v>0</v>
      </c>
      <c r="AT182" s="116">
        <f>AX182-$AF182</f>
        <v>0</v>
      </c>
      <c r="AU182" s="115"/>
      <c r="AV182" s="116">
        <f>AX182-$AF182/12*6</f>
        <v>0</v>
      </c>
      <c r="AW182" s="116">
        <f>SUMIF(Т!$GI$45:$GI$66,$GI182,Т!DA$45:DA$66)</f>
        <v>0</v>
      </c>
      <c r="AX182" s="116">
        <f>SUMIF(Т!$GI$45:$GI$66,$GI182,Т!DD$45:DD$66)</f>
        <v>0</v>
      </c>
      <c r="AY182" s="116">
        <f>BC182-$AE182</f>
        <v>0</v>
      </c>
      <c r="AZ182" s="116">
        <f>BD182-$AF182</f>
        <v>0</v>
      </c>
      <c r="BA182" s="115"/>
      <c r="BB182" s="231">
        <f>BD182-$AF182/12*3</f>
        <v>0</v>
      </c>
      <c r="BC182" s="116">
        <f>SUMIF(Т!$GI$45:$GI$66,$GI182,Т!EI$45:EI$66)</f>
        <v>0</v>
      </c>
      <c r="BD182" s="116">
        <f>SUMIF(Т!$GI$45:$GI$66,$GI182,Т!EL$45:EL$66)</f>
        <v>0</v>
      </c>
    </row>
    <row r="183" spans="6:195" customFormat="1" ht="12" customHeight="1">
      <c r="AE183" s="218"/>
      <c r="AF183" s="218"/>
      <c r="AG183" s="116">
        <f t="shared" ref="AG183:AG198" si="151">AK183-$AE183</f>
        <v>0</v>
      </c>
      <c r="AH183" s="116">
        <f t="shared" ref="AH183:AH199" si="152">AL183-$AF183</f>
        <v>0</v>
      </c>
      <c r="AI183" s="115"/>
      <c r="AJ183" s="116">
        <f t="shared" ref="AJ183:AJ199" si="153">AL183-$AF183</f>
        <v>0</v>
      </c>
      <c r="AK183" s="116">
        <f>SUMIF(Т!$GI$45:$GI$66,$GI183,Т!AK$45:AK$66)</f>
        <v>0</v>
      </c>
      <c r="AL183" s="116">
        <f>SUMIF(Т!$GI$45:$GI$66,$GI183,Т!AN$45:AN$66)</f>
        <v>0</v>
      </c>
      <c r="AM183" s="116">
        <f t="shared" ref="AM183:AM198" si="154">AQ183-$AE183</f>
        <v>0</v>
      </c>
      <c r="AN183" s="116">
        <f t="shared" ref="AN183:AN199" si="155">AR183-$AF183</f>
        <v>0</v>
      </c>
      <c r="AO183" s="115"/>
      <c r="AP183" s="116">
        <f t="shared" ref="AP183:AP199" si="156">AR183-$AF183/12*9</f>
        <v>0</v>
      </c>
      <c r="AQ183" s="116">
        <f>SUMIF(Т!$GI$45:$GI$66,$GI183,Т!BS$45:BS$66)</f>
        <v>0</v>
      </c>
      <c r="AR183" s="116">
        <f>SUMIF(Т!$GI$45:$GI$66,$GI183,Т!BV$45:BV$66)</f>
        <v>0</v>
      </c>
      <c r="AS183" s="116">
        <f t="shared" ref="AS183:AS198" si="157">AW183-$AE183</f>
        <v>0</v>
      </c>
      <c r="AT183" s="116">
        <f t="shared" ref="AT183:AT199" si="158">AX183-$AF183</f>
        <v>0</v>
      </c>
      <c r="AU183" s="115"/>
      <c r="AV183" s="116">
        <f t="shared" ref="AV183:AV199" si="159">AX183-$AF183/12*6</f>
        <v>0</v>
      </c>
      <c r="AW183" s="116">
        <f>SUMIF(Т!$GI$45:$GI$66,$GI183,Т!DA$45:DA$66)</f>
        <v>0</v>
      </c>
      <c r="AX183" s="116">
        <f>SUMIF(Т!$GI$45:$GI$66,$GI183,Т!DD$45:DD$66)</f>
        <v>0</v>
      </c>
      <c r="AY183" s="116">
        <f t="shared" ref="AY183:AY198" si="160">BC183-$AE183</f>
        <v>0</v>
      </c>
      <c r="AZ183" s="116">
        <f t="shared" ref="AZ183:AZ199" si="161">BD183-$AF183</f>
        <v>0</v>
      </c>
      <c r="BA183" s="115"/>
      <c r="BB183" s="231">
        <f t="shared" ref="BB183:BB199" si="162">BD183-$AF183/12*3</f>
        <v>0</v>
      </c>
      <c r="BC183" s="116">
        <f>SUMIF(Т!$GI$45:$GI$66,$GI183,Т!EI$45:EI$66)</f>
        <v>0</v>
      </c>
      <c r="BD183" s="116">
        <f>SUMIF(Т!$GI$45:$GI$66,$GI183,Т!EL$45:EL$66)</f>
        <v>0</v>
      </c>
    </row>
    <row r="184" spans="6:195" customFormat="1" ht="12" customHeight="1">
      <c r="AE184" s="218"/>
      <c r="AF184" s="218"/>
      <c r="AG184" s="116">
        <f t="shared" si="151"/>
        <v>0</v>
      </c>
      <c r="AH184" s="116">
        <f t="shared" si="152"/>
        <v>0</v>
      </c>
      <c r="AI184" s="115"/>
      <c r="AJ184" s="116">
        <f t="shared" si="153"/>
        <v>0</v>
      </c>
      <c r="AK184" s="116">
        <f>SUMIF(Т!$GI$45:$GI$66,$GI184,Т!AK$45:AK$66)</f>
        <v>0</v>
      </c>
      <c r="AL184" s="116">
        <f>SUMIF(Т!$GI$45:$GI$66,$GI184,Т!AN$45:AN$66)</f>
        <v>0</v>
      </c>
      <c r="AM184" s="116">
        <f t="shared" si="154"/>
        <v>0</v>
      </c>
      <c r="AN184" s="116">
        <f t="shared" si="155"/>
        <v>0</v>
      </c>
      <c r="AO184" s="115"/>
      <c r="AP184" s="116">
        <f t="shared" si="156"/>
        <v>0</v>
      </c>
      <c r="AQ184" s="116">
        <f>SUMIF(Т!$GI$45:$GI$66,$GI184,Т!BS$45:BS$66)</f>
        <v>0</v>
      </c>
      <c r="AR184" s="116">
        <f>SUMIF(Т!$GI$45:$GI$66,$GI184,Т!BV$45:BV$66)</f>
        <v>0</v>
      </c>
      <c r="AS184" s="116">
        <f t="shared" si="157"/>
        <v>0</v>
      </c>
      <c r="AT184" s="116">
        <f t="shared" si="158"/>
        <v>0</v>
      </c>
      <c r="AU184" s="115"/>
      <c r="AV184" s="116">
        <f t="shared" si="159"/>
        <v>0</v>
      </c>
      <c r="AW184" s="116">
        <f>SUMIF(Т!$GI$45:$GI$66,$GI184,Т!DA$45:DA$66)</f>
        <v>0</v>
      </c>
      <c r="AX184" s="116">
        <f>SUMIF(Т!$GI$45:$GI$66,$GI184,Т!DD$45:DD$66)</f>
        <v>0</v>
      </c>
      <c r="AY184" s="116">
        <f t="shared" si="160"/>
        <v>0</v>
      </c>
      <c r="AZ184" s="116">
        <f t="shared" si="161"/>
        <v>0</v>
      </c>
      <c r="BA184" s="115"/>
      <c r="BB184" s="231">
        <f t="shared" si="162"/>
        <v>0</v>
      </c>
      <c r="BC184" s="116">
        <f>SUMIF(Т!$GI$45:$GI$66,$GI184,Т!EI$45:EI$66)</f>
        <v>0</v>
      </c>
      <c r="BD184" s="116">
        <f>SUMIF(Т!$GI$45:$GI$66,$GI184,Т!EL$45:EL$66)</f>
        <v>0</v>
      </c>
    </row>
    <row r="185" spans="6:195" customFormat="1" ht="12" customHeight="1">
      <c r="AE185" s="218"/>
      <c r="AF185" s="218"/>
      <c r="AG185" s="116">
        <f t="shared" si="151"/>
        <v>0</v>
      </c>
      <c r="AH185" s="116">
        <f t="shared" si="152"/>
        <v>0</v>
      </c>
      <c r="AI185" s="115"/>
      <c r="AJ185" s="116">
        <f t="shared" si="153"/>
        <v>0</v>
      </c>
      <c r="AK185" s="116">
        <f>SUMIF(Т!$GI$45:$GI$66,$GI185,Т!AK$45:AK$66)</f>
        <v>0</v>
      </c>
      <c r="AL185" s="116">
        <f>SUMIF(Т!$GI$45:$GI$66,$GI185,Т!AN$45:AN$66)</f>
        <v>0</v>
      </c>
      <c r="AM185" s="116">
        <f t="shared" si="154"/>
        <v>0</v>
      </c>
      <c r="AN185" s="116">
        <f t="shared" si="155"/>
        <v>0</v>
      </c>
      <c r="AO185" s="115"/>
      <c r="AP185" s="116">
        <f t="shared" si="156"/>
        <v>0</v>
      </c>
      <c r="AQ185" s="116">
        <f>SUMIF(Т!$GI$45:$GI$66,$GI185,Т!BS$45:BS$66)</f>
        <v>0</v>
      </c>
      <c r="AR185" s="116">
        <f>SUMIF(Т!$GI$45:$GI$66,$GI185,Т!BV$45:BV$66)</f>
        <v>0</v>
      </c>
      <c r="AS185" s="116">
        <f t="shared" si="157"/>
        <v>0</v>
      </c>
      <c r="AT185" s="116">
        <f t="shared" si="158"/>
        <v>0</v>
      </c>
      <c r="AU185" s="115"/>
      <c r="AV185" s="116">
        <f t="shared" si="159"/>
        <v>0</v>
      </c>
      <c r="AW185" s="116">
        <f>SUMIF(Т!$GI$45:$GI$66,$GI185,Т!DA$45:DA$66)</f>
        <v>0</v>
      </c>
      <c r="AX185" s="116">
        <f>SUMIF(Т!$GI$45:$GI$66,$GI185,Т!DD$45:DD$66)</f>
        <v>0</v>
      </c>
      <c r="AY185" s="116">
        <f t="shared" si="160"/>
        <v>0</v>
      </c>
      <c r="AZ185" s="116">
        <f t="shared" si="161"/>
        <v>0</v>
      </c>
      <c r="BA185" s="115"/>
      <c r="BB185" s="231">
        <f t="shared" si="162"/>
        <v>0</v>
      </c>
      <c r="BC185" s="116">
        <f>SUMIF(Т!$GI$45:$GI$66,$GI185,Т!EI$45:EI$66)</f>
        <v>0</v>
      </c>
      <c r="BD185" s="116">
        <f>SUMIF(Т!$GI$45:$GI$66,$GI185,Т!EL$45:EL$66)</f>
        <v>0</v>
      </c>
    </row>
    <row r="186" spans="6:195" customFormat="1" ht="12" customHeight="1">
      <c r="AE186" s="218"/>
      <c r="AF186" s="218"/>
      <c r="AG186" s="116">
        <f t="shared" si="151"/>
        <v>0</v>
      </c>
      <c r="AH186" s="116">
        <f t="shared" si="152"/>
        <v>0</v>
      </c>
      <c r="AI186" s="115"/>
      <c r="AJ186" s="116">
        <f t="shared" si="153"/>
        <v>0</v>
      </c>
      <c r="AK186" s="116">
        <f>SUMIF(Т!$GI$45:$GI$66,$GI186,Т!AK$45:AK$66)</f>
        <v>0</v>
      </c>
      <c r="AL186" s="116">
        <f>SUMIF(Т!$GI$45:$GI$66,$GI186,Т!AN$45:AN$66)</f>
        <v>0</v>
      </c>
      <c r="AM186" s="116">
        <f t="shared" si="154"/>
        <v>0</v>
      </c>
      <c r="AN186" s="116">
        <f t="shared" si="155"/>
        <v>0</v>
      </c>
      <c r="AO186" s="115"/>
      <c r="AP186" s="116">
        <f t="shared" si="156"/>
        <v>0</v>
      </c>
      <c r="AQ186" s="116">
        <f>SUMIF(Т!$GI$45:$GI$66,$GI186,Т!BS$45:BS$66)</f>
        <v>0</v>
      </c>
      <c r="AR186" s="116">
        <f>SUMIF(Т!$GI$45:$GI$66,$GI186,Т!BV$45:BV$66)</f>
        <v>0</v>
      </c>
      <c r="AS186" s="116">
        <f t="shared" si="157"/>
        <v>0</v>
      </c>
      <c r="AT186" s="116">
        <f t="shared" si="158"/>
        <v>0</v>
      </c>
      <c r="AU186" s="115"/>
      <c r="AV186" s="116">
        <f t="shared" si="159"/>
        <v>0</v>
      </c>
      <c r="AW186" s="116">
        <f>SUMIF(Т!$GI$45:$GI$66,$GI186,Т!DA$45:DA$66)</f>
        <v>0</v>
      </c>
      <c r="AX186" s="116">
        <f>SUMIF(Т!$GI$45:$GI$66,$GI186,Т!DD$45:DD$66)</f>
        <v>0</v>
      </c>
      <c r="AY186" s="116">
        <f t="shared" si="160"/>
        <v>0</v>
      </c>
      <c r="AZ186" s="116">
        <f t="shared" si="161"/>
        <v>0</v>
      </c>
      <c r="BA186" s="115"/>
      <c r="BB186" s="231">
        <f t="shared" si="162"/>
        <v>0</v>
      </c>
      <c r="BC186" s="116">
        <f>SUMIF(Т!$GI$45:$GI$66,$GI186,Т!EI$45:EI$66)</f>
        <v>0</v>
      </c>
      <c r="BD186" s="116">
        <f>SUMIF(Т!$GI$45:$GI$66,$GI186,Т!EL$45:EL$66)</f>
        <v>0</v>
      </c>
    </row>
    <row r="187" spans="6:195" customFormat="1" ht="12" customHeight="1">
      <c r="AE187" s="218"/>
      <c r="AF187" s="218"/>
      <c r="AG187" s="116">
        <f t="shared" si="151"/>
        <v>0</v>
      </c>
      <c r="AH187" s="116">
        <f t="shared" si="152"/>
        <v>0</v>
      </c>
      <c r="AI187" s="115"/>
      <c r="AJ187" s="116">
        <f t="shared" si="153"/>
        <v>0</v>
      </c>
      <c r="AK187" s="116">
        <f>SUMIF(Т!$GI$45:$GI$66,$GI187,Т!AK$45:AK$66)</f>
        <v>0</v>
      </c>
      <c r="AL187" s="116">
        <f>SUMIF(Т!$GI$45:$GI$66,$GI187,Т!AN$45:AN$66)</f>
        <v>0</v>
      </c>
      <c r="AM187" s="116">
        <f t="shared" si="154"/>
        <v>0</v>
      </c>
      <c r="AN187" s="116">
        <f t="shared" si="155"/>
        <v>0</v>
      </c>
      <c r="AO187" s="115"/>
      <c r="AP187" s="116">
        <f t="shared" si="156"/>
        <v>0</v>
      </c>
      <c r="AQ187" s="116">
        <f>SUMIF(Т!$GI$45:$GI$66,$GI187,Т!BS$45:BS$66)</f>
        <v>0</v>
      </c>
      <c r="AR187" s="116">
        <f>SUMIF(Т!$GI$45:$GI$66,$GI187,Т!BV$45:BV$66)</f>
        <v>0</v>
      </c>
      <c r="AS187" s="116">
        <f t="shared" si="157"/>
        <v>0</v>
      </c>
      <c r="AT187" s="116">
        <f t="shared" si="158"/>
        <v>0</v>
      </c>
      <c r="AU187" s="115"/>
      <c r="AV187" s="116">
        <f t="shared" si="159"/>
        <v>0</v>
      </c>
      <c r="AW187" s="116">
        <f>SUMIF(Т!$GI$45:$GI$66,$GI187,Т!DA$45:DA$66)</f>
        <v>0</v>
      </c>
      <c r="AX187" s="116">
        <f>SUMIF(Т!$GI$45:$GI$66,$GI187,Т!DD$45:DD$66)</f>
        <v>0</v>
      </c>
      <c r="AY187" s="116">
        <f t="shared" si="160"/>
        <v>0</v>
      </c>
      <c r="AZ187" s="116">
        <f t="shared" si="161"/>
        <v>0</v>
      </c>
      <c r="BA187" s="115"/>
      <c r="BB187" s="231">
        <f t="shared" si="162"/>
        <v>0</v>
      </c>
      <c r="BC187" s="116">
        <f>SUMIF(Т!$GI$45:$GI$66,$GI187,Т!EI$45:EI$66)</f>
        <v>0</v>
      </c>
      <c r="BD187" s="116">
        <f>SUMIF(Т!$GI$45:$GI$66,$GI187,Т!EL$45:EL$66)</f>
        <v>0</v>
      </c>
    </row>
    <row r="188" spans="6:195" customFormat="1" ht="12" customHeight="1">
      <c r="AE188" s="218"/>
      <c r="AF188" s="218"/>
      <c r="AG188" s="116">
        <f t="shared" si="151"/>
        <v>0</v>
      </c>
      <c r="AH188" s="116">
        <f t="shared" si="152"/>
        <v>0</v>
      </c>
      <c r="AI188" s="115"/>
      <c r="AJ188" s="116">
        <f t="shared" si="153"/>
        <v>0</v>
      </c>
      <c r="AK188" s="116">
        <f>SUMIF(Т!$GI$45:$GI$66,$GI188,Т!AK$45:AK$66)</f>
        <v>0</v>
      </c>
      <c r="AL188" s="116">
        <f>SUMIF(Т!$GI$45:$GI$66,$GI188,Т!AN$45:AN$66)</f>
        <v>0</v>
      </c>
      <c r="AM188" s="116">
        <f t="shared" si="154"/>
        <v>0</v>
      </c>
      <c r="AN188" s="116">
        <f t="shared" si="155"/>
        <v>0</v>
      </c>
      <c r="AO188" s="115"/>
      <c r="AP188" s="116">
        <f t="shared" si="156"/>
        <v>0</v>
      </c>
      <c r="AQ188" s="116">
        <f>SUMIF(Т!$GI$45:$GI$66,$GI188,Т!BS$45:BS$66)</f>
        <v>0</v>
      </c>
      <c r="AR188" s="116">
        <f>SUMIF(Т!$GI$45:$GI$66,$GI188,Т!BV$45:BV$66)</f>
        <v>0</v>
      </c>
      <c r="AS188" s="116">
        <f t="shared" si="157"/>
        <v>0</v>
      </c>
      <c r="AT188" s="116">
        <f t="shared" si="158"/>
        <v>0</v>
      </c>
      <c r="AU188" s="115"/>
      <c r="AV188" s="116">
        <f t="shared" si="159"/>
        <v>0</v>
      </c>
      <c r="AW188" s="116">
        <f>SUMIF(Т!$GI$45:$GI$66,$GI188,Т!DA$45:DA$66)</f>
        <v>0</v>
      </c>
      <c r="AX188" s="116">
        <f>SUMIF(Т!$GI$45:$GI$66,$GI188,Т!DD$45:DD$66)</f>
        <v>0</v>
      </c>
      <c r="AY188" s="116">
        <f t="shared" si="160"/>
        <v>0</v>
      </c>
      <c r="AZ188" s="116">
        <f t="shared" si="161"/>
        <v>0</v>
      </c>
      <c r="BA188" s="115"/>
      <c r="BB188" s="231">
        <f t="shared" si="162"/>
        <v>0</v>
      </c>
      <c r="BC188" s="116">
        <f>SUMIF(Т!$GI$45:$GI$66,$GI188,Т!EI$45:EI$66)</f>
        <v>0</v>
      </c>
      <c r="BD188" s="116">
        <f>SUMIF(Т!$GI$45:$GI$66,$GI188,Т!EL$45:EL$66)</f>
        <v>0</v>
      </c>
    </row>
    <row r="189" spans="6:195" customFormat="1" ht="12" customHeight="1">
      <c r="AE189" s="218"/>
      <c r="AF189" s="218"/>
      <c r="AG189" s="116">
        <f t="shared" si="151"/>
        <v>0</v>
      </c>
      <c r="AH189" s="116">
        <f t="shared" si="152"/>
        <v>0</v>
      </c>
      <c r="AI189" s="115"/>
      <c r="AJ189" s="116">
        <f t="shared" si="153"/>
        <v>0</v>
      </c>
      <c r="AK189" s="116">
        <f>SUMIF(Т!$GI$45:$GI$66,$GI189,Т!AK$45:AK$66)</f>
        <v>0</v>
      </c>
      <c r="AL189" s="116">
        <f>SUMIF(Т!$GI$45:$GI$66,$GI189,Т!AN$45:AN$66)</f>
        <v>0</v>
      </c>
      <c r="AM189" s="116">
        <f t="shared" si="154"/>
        <v>0</v>
      </c>
      <c r="AN189" s="116">
        <f t="shared" si="155"/>
        <v>0</v>
      </c>
      <c r="AO189" s="115"/>
      <c r="AP189" s="116">
        <f t="shared" si="156"/>
        <v>0</v>
      </c>
      <c r="AQ189" s="116">
        <f>SUMIF(Т!$GI$45:$GI$66,$GI189,Т!BS$45:BS$66)</f>
        <v>0</v>
      </c>
      <c r="AR189" s="116">
        <f>SUMIF(Т!$GI$45:$GI$66,$GI189,Т!BV$45:BV$66)</f>
        <v>0</v>
      </c>
      <c r="AS189" s="116">
        <f t="shared" si="157"/>
        <v>0</v>
      </c>
      <c r="AT189" s="116">
        <f t="shared" si="158"/>
        <v>0</v>
      </c>
      <c r="AU189" s="115"/>
      <c r="AV189" s="116">
        <f t="shared" si="159"/>
        <v>0</v>
      </c>
      <c r="AW189" s="116">
        <f>SUMIF(Т!$GI$45:$GI$66,$GI189,Т!DA$45:DA$66)</f>
        <v>0</v>
      </c>
      <c r="AX189" s="116">
        <f>SUMIF(Т!$GI$45:$GI$66,$GI189,Т!DD$45:DD$66)</f>
        <v>0</v>
      </c>
      <c r="AY189" s="116">
        <f t="shared" si="160"/>
        <v>0</v>
      </c>
      <c r="AZ189" s="116">
        <f t="shared" si="161"/>
        <v>0</v>
      </c>
      <c r="BA189" s="115"/>
      <c r="BB189" s="231">
        <f t="shared" si="162"/>
        <v>0</v>
      </c>
      <c r="BC189" s="116">
        <f>SUMIF(Т!$GI$45:$GI$66,$GI189,Т!EI$45:EI$66)</f>
        <v>0</v>
      </c>
      <c r="BD189" s="116">
        <f>SUMIF(Т!$GI$45:$GI$66,$GI189,Т!EL$45:EL$66)</f>
        <v>0</v>
      </c>
    </row>
    <row r="190" spans="6:195" customFormat="1" ht="12" customHeight="1">
      <c r="AE190" s="218"/>
      <c r="AF190" s="218"/>
      <c r="AG190" s="116">
        <f t="shared" si="151"/>
        <v>0</v>
      </c>
      <c r="AH190" s="116">
        <f t="shared" si="152"/>
        <v>0</v>
      </c>
      <c r="AI190" s="115"/>
      <c r="AJ190" s="116">
        <f t="shared" si="153"/>
        <v>0</v>
      </c>
      <c r="AK190" s="116">
        <f>SUMIF(Т!$GI$45:$GI$66,$GI190,Т!AK$45:AK$66)</f>
        <v>0</v>
      </c>
      <c r="AL190" s="116">
        <f>SUMIF(Т!$GI$45:$GI$66,$GI190,Т!AN$45:AN$66)</f>
        <v>0</v>
      </c>
      <c r="AM190" s="116">
        <f t="shared" si="154"/>
        <v>0</v>
      </c>
      <c r="AN190" s="116">
        <f t="shared" si="155"/>
        <v>0</v>
      </c>
      <c r="AO190" s="115"/>
      <c r="AP190" s="116">
        <f t="shared" si="156"/>
        <v>0</v>
      </c>
      <c r="AQ190" s="116">
        <f>SUMIF(Т!$GI$45:$GI$66,$GI190,Т!BS$45:BS$66)</f>
        <v>0</v>
      </c>
      <c r="AR190" s="116">
        <f>SUMIF(Т!$GI$45:$GI$66,$GI190,Т!BV$45:BV$66)</f>
        <v>0</v>
      </c>
      <c r="AS190" s="116">
        <f t="shared" si="157"/>
        <v>0</v>
      </c>
      <c r="AT190" s="116">
        <f t="shared" si="158"/>
        <v>0</v>
      </c>
      <c r="AU190" s="115"/>
      <c r="AV190" s="116">
        <f t="shared" si="159"/>
        <v>0</v>
      </c>
      <c r="AW190" s="116">
        <f>SUMIF(Т!$GI$45:$GI$66,$GI190,Т!DA$45:DA$66)</f>
        <v>0</v>
      </c>
      <c r="AX190" s="116">
        <f>SUMIF(Т!$GI$45:$GI$66,$GI190,Т!DD$45:DD$66)</f>
        <v>0</v>
      </c>
      <c r="AY190" s="116">
        <f t="shared" si="160"/>
        <v>0</v>
      </c>
      <c r="AZ190" s="116">
        <f t="shared" si="161"/>
        <v>0</v>
      </c>
      <c r="BA190" s="115"/>
      <c r="BB190" s="231">
        <f t="shared" si="162"/>
        <v>0</v>
      </c>
      <c r="BC190" s="116">
        <f>SUMIF(Т!$GI$45:$GI$66,$GI190,Т!EI$45:EI$66)</f>
        <v>0</v>
      </c>
      <c r="BD190" s="116">
        <f>SUMIF(Т!$GI$45:$GI$66,$GI190,Т!EL$45:EL$66)</f>
        <v>0</v>
      </c>
    </row>
    <row r="191" spans="6:195" customFormat="1" ht="12" customHeight="1">
      <c r="AE191" s="218"/>
      <c r="AF191" s="218"/>
      <c r="AG191" s="116">
        <f t="shared" si="151"/>
        <v>0</v>
      </c>
      <c r="AH191" s="116">
        <f t="shared" si="152"/>
        <v>0</v>
      </c>
      <c r="AI191" s="115"/>
      <c r="AJ191" s="116">
        <f t="shared" si="153"/>
        <v>0</v>
      </c>
      <c r="AK191" s="116">
        <f>SUMIF(Т!$GI$45:$GI$66,$GI191,Т!BJ$45:BJ$66)</f>
        <v>0</v>
      </c>
      <c r="AL191" s="116">
        <f>SUMIF(Т!$GI$45:$GI$66,$GI191,Т!BH$45:BH$66)</f>
        <v>0</v>
      </c>
      <c r="AM191" s="116">
        <f t="shared" si="154"/>
        <v>0</v>
      </c>
      <c r="AN191" s="116">
        <f t="shared" si="155"/>
        <v>0</v>
      </c>
      <c r="AO191" s="115"/>
      <c r="AP191" s="116">
        <f t="shared" si="156"/>
        <v>0</v>
      </c>
      <c r="AQ191" s="116">
        <f>SUMIF(Т!$GI$45:$GI$66,$GI191,Т!CR$45:CR$66)</f>
        <v>0</v>
      </c>
      <c r="AR191" s="116">
        <f>SUMIF(Т!$GI$45:$GI$66,$GI191,Т!CP$45:CP$66)</f>
        <v>0</v>
      </c>
      <c r="AS191" s="116">
        <f t="shared" si="157"/>
        <v>0</v>
      </c>
      <c r="AT191" s="116">
        <f t="shared" si="158"/>
        <v>0</v>
      </c>
      <c r="AU191" s="115"/>
      <c r="AV191" s="116">
        <f t="shared" si="159"/>
        <v>0</v>
      </c>
      <c r="AW191" s="116">
        <f>SUMIF(Т!$GI$45:$GI$66,$GI191,Т!DZ$45:DZ$66)</f>
        <v>0</v>
      </c>
      <c r="AX191" s="116">
        <f>SUMIF(Т!$GI$45:$GI$66,$GI191,Т!DX$45:DX$66)</f>
        <v>0</v>
      </c>
      <c r="AY191" s="116">
        <f t="shared" si="160"/>
        <v>0</v>
      </c>
      <c r="AZ191" s="116">
        <f t="shared" si="161"/>
        <v>0</v>
      </c>
      <c r="BA191" s="115"/>
      <c r="BB191" s="231">
        <f t="shared" si="162"/>
        <v>0</v>
      </c>
      <c r="BC191" s="116">
        <f>SUMIF(Т!$GI$45:$GI$66,$GI191,Т!FH$45:FH$66)</f>
        <v>0</v>
      </c>
      <c r="BD191" s="116">
        <f>SUMIF(Т!$GI$45:$GI$66,$GI191,Т!FF$45:FF$66)</f>
        <v>0</v>
      </c>
    </row>
    <row r="192" spans="6:195" customFormat="1" ht="12" customHeight="1">
      <c r="AE192" s="218"/>
      <c r="AF192" s="218"/>
      <c r="AG192" s="116">
        <f t="shared" si="151"/>
        <v>0</v>
      </c>
      <c r="AH192" s="116">
        <f t="shared" si="152"/>
        <v>0</v>
      </c>
      <c r="AI192" s="115"/>
      <c r="AJ192" s="116">
        <f t="shared" si="153"/>
        <v>0</v>
      </c>
      <c r="AK192" s="116">
        <f>SUMIF(Т!$GI$45:$GI$66,$GI192,Т!BJ$45:BJ$66)</f>
        <v>0</v>
      </c>
      <c r="AL192" s="116">
        <f>SUMIF(Т!$GI$45:$GI$66,$GI192,Т!BH$45:BH$66)</f>
        <v>0</v>
      </c>
      <c r="AM192" s="116">
        <f t="shared" si="154"/>
        <v>0</v>
      </c>
      <c r="AN192" s="116">
        <f t="shared" si="155"/>
        <v>0</v>
      </c>
      <c r="AO192" s="115"/>
      <c r="AP192" s="116">
        <f t="shared" si="156"/>
        <v>0</v>
      </c>
      <c r="AQ192" s="116">
        <f>SUMIF(Т!$GI$45:$GI$66,$GI192,Т!CR$45:CR$66)</f>
        <v>0</v>
      </c>
      <c r="AR192" s="116">
        <f>SUMIF(Т!$GI$45:$GI$66,$GI192,Т!CP$45:CP$66)</f>
        <v>0</v>
      </c>
      <c r="AS192" s="116">
        <f t="shared" si="157"/>
        <v>0</v>
      </c>
      <c r="AT192" s="116">
        <f t="shared" si="158"/>
        <v>0</v>
      </c>
      <c r="AU192" s="115"/>
      <c r="AV192" s="116">
        <f t="shared" si="159"/>
        <v>0</v>
      </c>
      <c r="AW192" s="116">
        <f>SUMIF(Т!$GI$45:$GI$66,$GI192,Т!DZ$45:DZ$66)</f>
        <v>0</v>
      </c>
      <c r="AX192" s="116">
        <f>SUMIF(Т!$GI$45:$GI$66,$GI192,Т!DX$45:DX$66)</f>
        <v>0</v>
      </c>
      <c r="AY192" s="116">
        <f t="shared" si="160"/>
        <v>0</v>
      </c>
      <c r="AZ192" s="116">
        <f t="shared" si="161"/>
        <v>0</v>
      </c>
      <c r="BA192" s="115"/>
      <c r="BB192" s="231">
        <f t="shared" si="162"/>
        <v>0</v>
      </c>
      <c r="BC192" s="116">
        <f>SUMIF(Т!$GI$45:$GI$66,$GI192,Т!FH$45:FH$66)</f>
        <v>0</v>
      </c>
      <c r="BD192" s="116">
        <f>SUMIF(Т!$GI$45:$GI$66,$GI192,Т!FF$45:FF$66)</f>
        <v>0</v>
      </c>
    </row>
    <row r="193" spans="31:56" customFormat="1" ht="12" customHeight="1">
      <c r="AE193" s="218"/>
      <c r="AF193" s="218"/>
      <c r="AG193" s="116">
        <f t="shared" si="151"/>
        <v>0</v>
      </c>
      <c r="AH193" s="116">
        <f t="shared" si="152"/>
        <v>0</v>
      </c>
      <c r="AI193" s="115"/>
      <c r="AJ193" s="116">
        <f t="shared" si="153"/>
        <v>0</v>
      </c>
      <c r="AK193" s="116">
        <f>SUMIF(Т!$GI$45:$GI$66,$GI193,Т!AK$45:AK$66)</f>
        <v>0</v>
      </c>
      <c r="AL193" s="116">
        <f>SUMIF(Т!$GI$45:$GI$66,$GI193,Т!AN$45:AN$66)</f>
        <v>0</v>
      </c>
      <c r="AM193" s="116">
        <f t="shared" si="154"/>
        <v>0</v>
      </c>
      <c r="AN193" s="116">
        <f t="shared" si="155"/>
        <v>0</v>
      </c>
      <c r="AO193" s="115"/>
      <c r="AP193" s="116">
        <f t="shared" si="156"/>
        <v>0</v>
      </c>
      <c r="AQ193" s="116">
        <f>SUMIF(Т!$GI$45:$GI$66,$GI193,Т!BS$45:BS$66)</f>
        <v>0</v>
      </c>
      <c r="AR193" s="116">
        <f>SUMIF(Т!$GI$45:$GI$66,$GI193,Т!BV$45:BV$66)</f>
        <v>0</v>
      </c>
      <c r="AS193" s="116">
        <f t="shared" si="157"/>
        <v>0</v>
      </c>
      <c r="AT193" s="116">
        <f t="shared" si="158"/>
        <v>0</v>
      </c>
      <c r="AU193" s="115"/>
      <c r="AV193" s="116">
        <f t="shared" si="159"/>
        <v>0</v>
      </c>
      <c r="AW193" s="116">
        <f>SUMIF(Т!$GI$45:$GI$66,$GI193,Т!DA$45:DA$66)</f>
        <v>0</v>
      </c>
      <c r="AX193" s="116">
        <f>SUMIF(Т!$GI$45:$GI$66,$GI193,Т!DD$45:DD$66)</f>
        <v>0</v>
      </c>
      <c r="AY193" s="116">
        <f t="shared" si="160"/>
        <v>0</v>
      </c>
      <c r="AZ193" s="116">
        <f t="shared" si="161"/>
        <v>0</v>
      </c>
      <c r="BA193" s="115"/>
      <c r="BB193" s="231">
        <f t="shared" si="162"/>
        <v>0</v>
      </c>
      <c r="BC193" s="116">
        <f>SUMIF(Т!$GI$45:$GI$66,$GI193,Т!EI$45:EI$66)</f>
        <v>0</v>
      </c>
      <c r="BD193" s="116">
        <f>SUMIF(Т!$GI$45:$GI$66,$GI193,Т!EL$45:EL$66)</f>
        <v>0</v>
      </c>
    </row>
    <row r="194" spans="31:56" customFormat="1" ht="12" customHeight="1">
      <c r="AE194" s="218"/>
      <c r="AF194" s="218"/>
      <c r="AG194" s="116">
        <f t="shared" si="151"/>
        <v>0</v>
      </c>
      <c r="AH194" s="116">
        <f t="shared" si="152"/>
        <v>0</v>
      </c>
      <c r="AI194" s="115"/>
      <c r="AJ194" s="116">
        <f t="shared" si="153"/>
        <v>0</v>
      </c>
      <c r="AK194" s="116">
        <f>SUMIF(Т!$GI$45:$GI$66,$GI194,Т!AK$45:AK$66)</f>
        <v>0</v>
      </c>
      <c r="AL194" s="116">
        <f>SUMIF(Т!$GI$45:$GI$66,$GI194,Т!AN$45:AN$66)</f>
        <v>0</v>
      </c>
      <c r="AM194" s="116">
        <f t="shared" si="154"/>
        <v>0</v>
      </c>
      <c r="AN194" s="116">
        <f t="shared" si="155"/>
        <v>0</v>
      </c>
      <c r="AO194" s="115"/>
      <c r="AP194" s="116">
        <f t="shared" si="156"/>
        <v>0</v>
      </c>
      <c r="AQ194" s="116">
        <f>SUMIF(Т!$GI$45:$GI$66,$GI194,Т!BS$45:BS$66)</f>
        <v>0</v>
      </c>
      <c r="AR194" s="116">
        <f>SUMIF(Т!$GI$45:$GI$66,$GI194,Т!BV$45:BV$66)</f>
        <v>0</v>
      </c>
      <c r="AS194" s="116">
        <f t="shared" si="157"/>
        <v>0</v>
      </c>
      <c r="AT194" s="116">
        <f t="shared" si="158"/>
        <v>0</v>
      </c>
      <c r="AU194" s="115"/>
      <c r="AV194" s="116">
        <f t="shared" si="159"/>
        <v>0</v>
      </c>
      <c r="AW194" s="116">
        <f>SUMIF(Т!$GI$45:$GI$66,$GI194,Т!DA$45:DA$66)</f>
        <v>0</v>
      </c>
      <c r="AX194" s="116">
        <f>SUMIF(Т!$GI$45:$GI$66,$GI194,Т!DD$45:DD$66)</f>
        <v>0</v>
      </c>
      <c r="AY194" s="116">
        <f t="shared" si="160"/>
        <v>0</v>
      </c>
      <c r="AZ194" s="116">
        <f t="shared" si="161"/>
        <v>0</v>
      </c>
      <c r="BA194" s="115"/>
      <c r="BB194" s="231">
        <f t="shared" si="162"/>
        <v>0</v>
      </c>
      <c r="BC194" s="116">
        <f>SUMIF(Т!$GI$45:$GI$66,$GI194,Т!EI$45:EI$66)</f>
        <v>0</v>
      </c>
      <c r="BD194" s="116">
        <f>SUMIF(Т!$GI$45:$GI$66,$GI194,Т!EL$45:EL$66)</f>
        <v>0</v>
      </c>
    </row>
    <row r="195" spans="31:56" customFormat="1" ht="12" customHeight="1">
      <c r="AE195" s="218"/>
      <c r="AF195" s="218"/>
      <c r="AG195" s="116">
        <f t="shared" si="151"/>
        <v>0</v>
      </c>
      <c r="AH195" s="116">
        <f t="shared" si="152"/>
        <v>0</v>
      </c>
      <c r="AI195" s="115"/>
      <c r="AJ195" s="116">
        <f t="shared" si="153"/>
        <v>0</v>
      </c>
      <c r="AK195" s="116">
        <f>SUMIF(Т!$GI$45:$GI$66,$GI195,Т!AK$45:AK$66)</f>
        <v>0</v>
      </c>
      <c r="AL195" s="116">
        <f>SUMIF(Т!$GI$45:$GI$66,$GI195,Т!AN$45:AN$66)</f>
        <v>0</v>
      </c>
      <c r="AM195" s="116">
        <f t="shared" si="154"/>
        <v>0</v>
      </c>
      <c r="AN195" s="116">
        <f t="shared" si="155"/>
        <v>0</v>
      </c>
      <c r="AO195" s="115"/>
      <c r="AP195" s="116">
        <f t="shared" si="156"/>
        <v>0</v>
      </c>
      <c r="AQ195" s="116">
        <f>SUMIF(Т!$GI$45:$GI$66,$GI195,Т!BS$45:BS$66)</f>
        <v>0</v>
      </c>
      <c r="AR195" s="116">
        <f>SUMIF(Т!$GI$45:$GI$66,$GI195,Т!BV$45:BV$66)</f>
        <v>0</v>
      </c>
      <c r="AS195" s="116">
        <f t="shared" si="157"/>
        <v>0</v>
      </c>
      <c r="AT195" s="116">
        <f t="shared" si="158"/>
        <v>0</v>
      </c>
      <c r="AU195" s="115"/>
      <c r="AV195" s="116">
        <f t="shared" si="159"/>
        <v>0</v>
      </c>
      <c r="AW195" s="116">
        <f>SUMIF(Т!$GI$45:$GI$66,$GI195,Т!DA$45:DA$66)</f>
        <v>0</v>
      </c>
      <c r="AX195" s="116">
        <f>SUMIF(Т!$GI$45:$GI$66,$GI195,Т!DD$45:DD$66)</f>
        <v>0</v>
      </c>
      <c r="AY195" s="116">
        <f t="shared" si="160"/>
        <v>0</v>
      </c>
      <c r="AZ195" s="116">
        <f t="shared" si="161"/>
        <v>0</v>
      </c>
      <c r="BA195" s="115"/>
      <c r="BB195" s="231">
        <f t="shared" si="162"/>
        <v>0</v>
      </c>
      <c r="BC195" s="116">
        <f>SUMIF(Т!$GI$45:$GI$66,$GI195,Т!EI$45:EI$66)</f>
        <v>0</v>
      </c>
      <c r="BD195" s="116">
        <f>SUMIF(Т!$GI$45:$GI$66,$GI195,Т!EL$45:EL$66)</f>
        <v>0</v>
      </c>
    </row>
    <row r="196" spans="31:56" customFormat="1">
      <c r="AE196" s="218"/>
      <c r="AF196" s="218"/>
      <c r="AG196" s="116">
        <f t="shared" si="151"/>
        <v>0</v>
      </c>
      <c r="AH196" s="116">
        <f t="shared" si="152"/>
        <v>0</v>
      </c>
      <c r="AI196" s="115"/>
      <c r="AJ196" s="116">
        <f t="shared" si="153"/>
        <v>0</v>
      </c>
      <c r="AK196" s="116">
        <f>SUMIF(Т!$GI$45:$GI$66,$GI196,Т!AK$45:AK$66)</f>
        <v>0</v>
      </c>
      <c r="AL196" s="116">
        <f>SUMIF(Т!$GI$45:$GI$66,$GI196,Т!AN$45:AN$66)</f>
        <v>0</v>
      </c>
      <c r="AM196" s="116">
        <f t="shared" si="154"/>
        <v>0</v>
      </c>
      <c r="AN196" s="116">
        <f t="shared" si="155"/>
        <v>0</v>
      </c>
      <c r="AO196" s="115"/>
      <c r="AP196" s="116">
        <f t="shared" si="156"/>
        <v>0</v>
      </c>
      <c r="AQ196" s="116">
        <f>SUMIF(Т!$GI$45:$GI$66,$GI196,Т!BS$45:BS$66)</f>
        <v>0</v>
      </c>
      <c r="AR196" s="116">
        <f>SUMIF(Т!$GI$45:$GI$66,$GI196,Т!BV$45:BV$66)</f>
        <v>0</v>
      </c>
      <c r="AS196" s="116">
        <f t="shared" si="157"/>
        <v>0</v>
      </c>
      <c r="AT196" s="116">
        <f t="shared" si="158"/>
        <v>0</v>
      </c>
      <c r="AU196" s="115"/>
      <c r="AV196" s="116">
        <f t="shared" si="159"/>
        <v>0</v>
      </c>
      <c r="AW196" s="116">
        <f>SUMIF(Т!$GI$45:$GI$66,$GI196,Т!DA$45:DA$66)</f>
        <v>0</v>
      </c>
      <c r="AX196" s="116">
        <f>SUMIF(Т!$GI$45:$GI$66,$GI196,Т!DD$45:DD$66)</f>
        <v>0</v>
      </c>
      <c r="AY196" s="116">
        <f t="shared" si="160"/>
        <v>0</v>
      </c>
      <c r="AZ196" s="116">
        <f t="shared" si="161"/>
        <v>0</v>
      </c>
      <c r="BA196" s="115"/>
      <c r="BB196" s="231">
        <f t="shared" si="162"/>
        <v>0</v>
      </c>
      <c r="BC196" s="116">
        <f>SUMIF(Т!$GI$45:$GI$66,$GI196,Т!EI$45:EI$66)</f>
        <v>0</v>
      </c>
      <c r="BD196" s="116">
        <f>SUMIF(Т!$GI$45:$GI$66,$GI196,Т!EL$45:EL$66)</f>
        <v>0</v>
      </c>
    </row>
    <row r="197" spans="31:56" customFormat="1">
      <c r="AE197" s="218"/>
      <c r="AF197" s="218"/>
      <c r="AG197" s="116">
        <f t="shared" si="151"/>
        <v>0</v>
      </c>
      <c r="AH197" s="116">
        <f t="shared" si="152"/>
        <v>0</v>
      </c>
      <c r="AI197" s="115"/>
      <c r="AJ197" s="116">
        <f t="shared" si="153"/>
        <v>0</v>
      </c>
      <c r="AK197" s="116">
        <f>SUMIF(Т!$GI$45:$GI$66,$GI197,Т!AK$45:AK$66)</f>
        <v>0</v>
      </c>
      <c r="AL197" s="116">
        <f>SUMIF(Т!$GI$45:$GI$66,$GI197,Т!AN$45:AN$66)</f>
        <v>0</v>
      </c>
      <c r="AM197" s="116">
        <f t="shared" si="154"/>
        <v>0</v>
      </c>
      <c r="AN197" s="116">
        <f t="shared" si="155"/>
        <v>0</v>
      </c>
      <c r="AO197" s="115"/>
      <c r="AP197" s="116">
        <f t="shared" si="156"/>
        <v>0</v>
      </c>
      <c r="AQ197" s="116">
        <f>SUMIF(Т!$GI$45:$GI$66,$GI197,Т!BS$45:BS$66)</f>
        <v>0</v>
      </c>
      <c r="AR197" s="116">
        <f>SUMIF(Т!$GI$45:$GI$66,$GI197,Т!BV$45:BV$66)</f>
        <v>0</v>
      </c>
      <c r="AS197" s="116">
        <f t="shared" si="157"/>
        <v>0</v>
      </c>
      <c r="AT197" s="116">
        <f t="shared" si="158"/>
        <v>0</v>
      </c>
      <c r="AU197" s="115"/>
      <c r="AV197" s="116">
        <f t="shared" si="159"/>
        <v>0</v>
      </c>
      <c r="AW197" s="116">
        <f>SUMIF(Т!$GI$45:$GI$66,$GI197,Т!DA$45:DA$66)</f>
        <v>0</v>
      </c>
      <c r="AX197" s="116">
        <f>SUMIF(Т!$GI$45:$GI$66,$GI197,Т!DD$45:DD$66)</f>
        <v>0</v>
      </c>
      <c r="AY197" s="116">
        <f t="shared" si="160"/>
        <v>0</v>
      </c>
      <c r="AZ197" s="116">
        <f t="shared" si="161"/>
        <v>0</v>
      </c>
      <c r="BA197" s="115"/>
      <c r="BB197" s="231">
        <f t="shared" si="162"/>
        <v>0</v>
      </c>
      <c r="BC197" s="116">
        <f>SUMIF(Т!$GI$45:$GI$66,$GI197,Т!EI$45:EI$66)</f>
        <v>0</v>
      </c>
      <c r="BD197" s="116">
        <f>SUMIF(Т!$GI$45:$GI$66,$GI197,Т!EL$45:EL$66)</f>
        <v>0</v>
      </c>
    </row>
    <row r="198" spans="31:56" customFormat="1">
      <c r="AE198" s="218"/>
      <c r="AF198" s="218"/>
      <c r="AG198" s="116">
        <f t="shared" si="151"/>
        <v>0</v>
      </c>
      <c r="AH198" s="116">
        <f t="shared" si="152"/>
        <v>0</v>
      </c>
      <c r="AI198" s="115"/>
      <c r="AJ198" s="116">
        <f t="shared" si="153"/>
        <v>0</v>
      </c>
      <c r="AK198" s="116">
        <f>SUMIF(Т!$GI$45:$GI$66,$GI198,Т!AK$45:AK$66)</f>
        <v>0</v>
      </c>
      <c r="AL198" s="116">
        <f>SUMIF(Т!$GI$45:$GI$66,$GI198,Т!AN$45:AN$66)</f>
        <v>0</v>
      </c>
      <c r="AM198" s="116">
        <f t="shared" si="154"/>
        <v>0</v>
      </c>
      <c r="AN198" s="116">
        <f t="shared" si="155"/>
        <v>0</v>
      </c>
      <c r="AO198" s="115"/>
      <c r="AP198" s="116">
        <f t="shared" si="156"/>
        <v>0</v>
      </c>
      <c r="AQ198" s="116">
        <f>SUMIF(Т!$GI$45:$GI$66,$GI198,Т!BS$45:BS$66)</f>
        <v>0</v>
      </c>
      <c r="AR198" s="116">
        <f>SUMIF(Т!$GI$45:$GI$66,$GI198,Т!BV$45:BV$66)</f>
        <v>0</v>
      </c>
      <c r="AS198" s="116">
        <f t="shared" si="157"/>
        <v>0</v>
      </c>
      <c r="AT198" s="116">
        <f t="shared" si="158"/>
        <v>0</v>
      </c>
      <c r="AU198" s="115"/>
      <c r="AV198" s="116">
        <f t="shared" si="159"/>
        <v>0</v>
      </c>
      <c r="AW198" s="116">
        <f>SUMIF(Т!$GI$45:$GI$66,$GI198,Т!DA$45:DA$66)</f>
        <v>0</v>
      </c>
      <c r="AX198" s="116">
        <f>SUMIF(Т!$GI$45:$GI$66,$GI198,Т!DD$45:DD$66)</f>
        <v>0</v>
      </c>
      <c r="AY198" s="116">
        <f t="shared" si="160"/>
        <v>0</v>
      </c>
      <c r="AZ198" s="116">
        <f t="shared" si="161"/>
        <v>0</v>
      </c>
      <c r="BA198" s="115"/>
      <c r="BB198" s="231">
        <f t="shared" si="162"/>
        <v>0</v>
      </c>
      <c r="BC198" s="116">
        <f>SUMIF(Т!$GI$45:$GI$66,$GI198,Т!EI$45:EI$66)</f>
        <v>0</v>
      </c>
      <c r="BD198" s="116">
        <f>SUMIF(Т!$GI$45:$GI$66,$GI198,Т!EL$45:EL$66)</f>
        <v>0</v>
      </c>
    </row>
    <row r="199" spans="31:56">
      <c r="AE199" s="115"/>
      <c r="AF199" s="218"/>
      <c r="AG199" s="115"/>
      <c r="AH199" s="116">
        <f t="shared" si="152"/>
        <v>0</v>
      </c>
      <c r="AI199" s="115"/>
      <c r="AJ199" s="116">
        <f t="shared" si="153"/>
        <v>0</v>
      </c>
      <c r="AK199" s="115"/>
      <c r="AL199" s="116">
        <f>SUMIF(Т!$GI$45:$GI$66,$GI199,Т!AN$45:AN$66)</f>
        <v>0</v>
      </c>
      <c r="AM199" s="115"/>
      <c r="AN199" s="116">
        <f t="shared" si="155"/>
        <v>0</v>
      </c>
      <c r="AO199" s="115"/>
      <c r="AP199" s="116">
        <f t="shared" si="156"/>
        <v>0</v>
      </c>
      <c r="AQ199" s="115"/>
      <c r="AR199" s="116">
        <f>SUMIF(Т!$GI$45:$GI$66,$GI199,Т!BV$45:BV$66)</f>
        <v>0</v>
      </c>
      <c r="AS199" s="115"/>
      <c r="AT199" s="116">
        <f t="shared" si="158"/>
        <v>0</v>
      </c>
      <c r="AU199" s="115"/>
      <c r="AV199" s="116">
        <f t="shared" si="159"/>
        <v>0</v>
      </c>
      <c r="AW199" s="115"/>
      <c r="AX199" s="116">
        <f>SUMIF(Т!$GI$45:$GI$66,$GI199,Т!DD$45:DD$66)</f>
        <v>0</v>
      </c>
      <c r="AY199" s="115"/>
      <c r="AZ199" s="116">
        <f t="shared" si="161"/>
        <v>0</v>
      </c>
      <c r="BA199" s="115"/>
      <c r="BB199" s="231">
        <f t="shared" si="162"/>
        <v>0</v>
      </c>
      <c r="BC199" s="115"/>
      <c r="BD199" s="116">
        <f>SUMIF(Т!$GI$45:$GI$66,$GI199,Т!EL$45:EL$66)</f>
        <v>0</v>
      </c>
    </row>
  </sheetData>
  <sheetProtection formatColumns="0" formatRows="0"/>
  <mergeCells count="67">
    <mergeCell ref="FN132:FN151"/>
    <mergeCell ref="I132:I151"/>
    <mergeCell ref="P19:P38"/>
    <mergeCell ref="AB53:AC56"/>
    <mergeCell ref="Q19:Q38"/>
    <mergeCell ref="R19:R38"/>
    <mergeCell ref="T132:T151"/>
    <mergeCell ref="U132:U151"/>
    <mergeCell ref="G18:I18"/>
    <mergeCell ref="M18:O18"/>
    <mergeCell ref="L19:L38"/>
    <mergeCell ref="J19:J38"/>
    <mergeCell ref="K19:K38"/>
    <mergeCell ref="A130:C130"/>
    <mergeCell ref="A129:C129"/>
    <mergeCell ref="AB142:AB143"/>
    <mergeCell ref="N132:N151"/>
    <mergeCell ref="Y132:Y151"/>
    <mergeCell ref="O132:O151"/>
    <mergeCell ref="AA133:AA135"/>
    <mergeCell ref="R132:R151"/>
    <mergeCell ref="BJ170:BJ171"/>
    <mergeCell ref="AA142:AA143"/>
    <mergeCell ref="AA170:AA171"/>
    <mergeCell ref="AB161:AB163"/>
    <mergeCell ref="A131:C131"/>
    <mergeCell ref="FR133:FR135"/>
    <mergeCell ref="AB133:AB135"/>
    <mergeCell ref="FP142:FP143"/>
    <mergeCell ref="Q160:Q179"/>
    <mergeCell ref="W160:W179"/>
    <mergeCell ref="BJ161:BJ163"/>
    <mergeCell ref="Y160:Y179"/>
    <mergeCell ref="FR142:FR143"/>
    <mergeCell ref="FQ133:FQ135"/>
    <mergeCell ref="FP133:FP135"/>
    <mergeCell ref="FQ142:FQ143"/>
    <mergeCell ref="AA161:AA163"/>
    <mergeCell ref="X160:X179"/>
    <mergeCell ref="FO133:FO135"/>
    <mergeCell ref="FO142:FO143"/>
    <mergeCell ref="AB170:AB171"/>
    <mergeCell ref="A159:C159"/>
    <mergeCell ref="S132:S151"/>
    <mergeCell ref="P132:P151"/>
    <mergeCell ref="Q132:Q151"/>
    <mergeCell ref="J132:J151"/>
    <mergeCell ref="K132:K151"/>
    <mergeCell ref="G132:G151"/>
    <mergeCell ref="H132:H151"/>
    <mergeCell ref="M132:M151"/>
    <mergeCell ref="L132:L151"/>
    <mergeCell ref="V160:V179"/>
    <mergeCell ref="J160:J179"/>
    <mergeCell ref="O160:O179"/>
    <mergeCell ref="L160:L179"/>
    <mergeCell ref="S160:S179"/>
    <mergeCell ref="R160:R179"/>
    <mergeCell ref="P160:P179"/>
    <mergeCell ref="G160:G179"/>
    <mergeCell ref="K160:K179"/>
    <mergeCell ref="T160:T179"/>
    <mergeCell ref="U160:U179"/>
    <mergeCell ref="M160:M179"/>
    <mergeCell ref="N160:N179"/>
    <mergeCell ref="H160:H179"/>
    <mergeCell ref="I160:I179"/>
  </mergeCells>
  <phoneticPr fontId="8" type="noConversion"/>
  <dataValidations count="3">
    <dataValidation type="list" allowBlank="1" showInputMessage="1" showErrorMessage="1" errorTitle="Внимание" error="Выберите значение из списка!" sqref="T132:T151">
      <formula1>YES_NO</formula1>
    </dataValidation>
    <dataValidation type="list" allowBlank="1" showInputMessage="1" showErrorMessage="1" errorTitle="Внимание" error="Пожалуйста, выберите значение из списка" sqref="J19:J38 J132:J151">
      <formula1>MR_LIST</formula1>
    </dataValidation>
    <dataValidation type="list" showInputMessage="1" showErrorMessage="1" errorTitle="Внимание" error="Пожалуйста, выберите значение из списка" sqref="P132:P151">
      <formula1>DIFF</formula1>
    </dataValidation>
  </dataValidations>
  <hyperlinks>
    <hyperlink ref="H132" location="'Т'!A1" tooltip="Удалить" display="О"/>
    <hyperlink ref="H160" location="'ВД'!A1" tooltip="Удалить" display="О"/>
  </hyperlink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TECHSHEET">
    <tabColor indexed="47"/>
  </sheetPr>
  <dimension ref="A1:AE204"/>
  <sheetViews>
    <sheetView zoomScale="80" zoomScaleNormal="80" workbookViewId="0"/>
  </sheetViews>
  <sheetFormatPr defaultRowHeight="11.25"/>
  <cols>
    <col min="1" max="1" width="40.5703125" style="85" customWidth="1"/>
    <col min="2" max="2" width="5.7109375" style="85" customWidth="1"/>
    <col min="3" max="3" width="40.5703125" style="85" customWidth="1"/>
    <col min="4" max="4" width="4.5703125" style="85" customWidth="1"/>
    <col min="5" max="5" width="44.28515625" style="85" bestFit="1" customWidth="1"/>
    <col min="6" max="6" width="37.140625" style="85" customWidth="1"/>
    <col min="7" max="7" width="40.7109375" style="85" bestFit="1" customWidth="1"/>
    <col min="8" max="9" width="4.7109375" style="85" customWidth="1"/>
    <col min="10" max="10" width="13.7109375" style="85" customWidth="1"/>
    <col min="11" max="11" width="29.7109375" style="85" customWidth="1"/>
    <col min="12" max="19" width="9.140625" style="85"/>
    <col min="20" max="21" width="11" style="85" customWidth="1"/>
    <col min="22" max="25" width="9.140625" style="85"/>
    <col min="26" max="26" width="9.140625" style="88"/>
    <col min="27" max="16384" width="9.140625" style="85"/>
  </cols>
  <sheetData>
    <row r="1" spans="1:26">
      <c r="A1" s="270" t="s">
        <v>1552</v>
      </c>
      <c r="B1" s="2" t="s">
        <v>1773</v>
      </c>
      <c r="C1" s="270" t="s">
        <v>1552</v>
      </c>
      <c r="D1" s="85" t="s">
        <v>1539</v>
      </c>
      <c r="G1" s="89"/>
      <c r="J1" s="87" t="s">
        <v>34</v>
      </c>
      <c r="K1" s="86" t="s">
        <v>1672</v>
      </c>
      <c r="X1" s="88"/>
      <c r="Z1" s="85"/>
    </row>
    <row r="2" spans="1:26">
      <c r="A2" s="270" t="s">
        <v>1553</v>
      </c>
      <c r="B2" s="2" t="s">
        <v>1774</v>
      </c>
      <c r="C2" s="270" t="s">
        <v>1553</v>
      </c>
      <c r="D2" s="85" t="s">
        <v>1540</v>
      </c>
      <c r="E2" s="91" t="s">
        <v>1630</v>
      </c>
      <c r="F2" s="91" t="s">
        <v>1645</v>
      </c>
      <c r="G2" s="86" t="s">
        <v>1669</v>
      </c>
      <c r="J2" s="87"/>
      <c r="K2" s="86" t="s">
        <v>1673</v>
      </c>
      <c r="X2" s="88"/>
      <c r="Z2" s="85"/>
    </row>
    <row r="3" spans="1:26">
      <c r="A3" s="270" t="s">
        <v>1554</v>
      </c>
      <c r="B3" s="2" t="s">
        <v>1775</v>
      </c>
      <c r="C3" s="270" t="s">
        <v>1554</v>
      </c>
      <c r="E3" s="92" t="s">
        <v>1529</v>
      </c>
      <c r="F3" s="93" t="s">
        <v>1633</v>
      </c>
      <c r="G3" s="93" t="s">
        <v>1507</v>
      </c>
      <c r="Z3" s="85"/>
    </row>
    <row r="4" spans="1:26">
      <c r="A4" s="270" t="s">
        <v>1555</v>
      </c>
      <c r="B4" s="2" t="s">
        <v>1776</v>
      </c>
      <c r="C4" s="270" t="s">
        <v>1555</v>
      </c>
      <c r="E4" s="92" t="s">
        <v>1612</v>
      </c>
      <c r="F4" s="93" t="s">
        <v>1719</v>
      </c>
      <c r="G4" s="89"/>
      <c r="K4"/>
      <c r="Z4" s="85"/>
    </row>
    <row r="5" spans="1:26">
      <c r="A5" s="270" t="s">
        <v>1546</v>
      </c>
      <c r="B5" s="2" t="s">
        <v>1777</v>
      </c>
      <c r="C5" s="270" t="s">
        <v>1546</v>
      </c>
      <c r="E5" s="92" t="s">
        <v>1613</v>
      </c>
      <c r="F5" s="92" t="s">
        <v>1623</v>
      </c>
      <c r="K5" s="210" t="s">
        <v>1757</v>
      </c>
      <c r="Z5" s="85"/>
    </row>
    <row r="6" spans="1:26">
      <c r="A6" s="270" t="s">
        <v>1556</v>
      </c>
      <c r="B6" s="2" t="s">
        <v>1778</v>
      </c>
      <c r="C6" s="270" t="s">
        <v>1556</v>
      </c>
      <c r="E6" s="92" t="s">
        <v>1614</v>
      </c>
      <c r="F6" s="92" t="s">
        <v>1624</v>
      </c>
      <c r="G6" s="86" t="s">
        <v>1679</v>
      </c>
      <c r="K6" s="211" t="s">
        <v>1758</v>
      </c>
      <c r="Z6" s="85"/>
    </row>
    <row r="7" spans="1:26">
      <c r="A7" s="270" t="s">
        <v>1557</v>
      </c>
      <c r="B7" s="2" t="s">
        <v>1779</v>
      </c>
      <c r="C7" s="270" t="s">
        <v>1557</v>
      </c>
      <c r="E7" s="92" t="s">
        <v>1615</v>
      </c>
      <c r="F7" s="92" t="s">
        <v>1625</v>
      </c>
      <c r="G7" s="93" t="s">
        <v>1674</v>
      </c>
      <c r="K7" s="211" t="s">
        <v>1759</v>
      </c>
      <c r="Z7" s="85"/>
    </row>
    <row r="8" spans="1:26">
      <c r="A8" s="270" t="s">
        <v>1558</v>
      </c>
      <c r="B8" s="2" t="s">
        <v>1780</v>
      </c>
      <c r="C8" s="270" t="s">
        <v>1558</v>
      </c>
      <c r="E8" s="108" t="s">
        <v>1748</v>
      </c>
      <c r="F8" s="93" t="s">
        <v>1627</v>
      </c>
      <c r="G8" s="93" t="s">
        <v>1633</v>
      </c>
      <c r="K8" s="108" t="s">
        <v>1760</v>
      </c>
      <c r="Z8" s="85"/>
    </row>
    <row r="9" spans="1:26">
      <c r="A9" s="270" t="s">
        <v>1559</v>
      </c>
      <c r="B9" s="169" t="s">
        <v>1781</v>
      </c>
      <c r="C9" s="270" t="s">
        <v>1559</v>
      </c>
      <c r="E9" s="92" t="s">
        <v>1616</v>
      </c>
      <c r="F9" s="93" t="s">
        <v>1618</v>
      </c>
      <c r="G9" s="93" t="s">
        <v>1623</v>
      </c>
      <c r="K9"/>
      <c r="Z9" s="85"/>
    </row>
    <row r="10" spans="1:26">
      <c r="A10" s="270" t="s">
        <v>1560</v>
      </c>
      <c r="B10" s="169" t="s">
        <v>1782</v>
      </c>
      <c r="C10" s="270" t="s">
        <v>1560</v>
      </c>
      <c r="E10" s="92" t="s">
        <v>1617</v>
      </c>
      <c r="F10" s="93" t="s">
        <v>1626</v>
      </c>
      <c r="G10" s="93" t="s">
        <v>1624</v>
      </c>
      <c r="Z10" s="85"/>
    </row>
    <row r="11" spans="1:26">
      <c r="A11" s="271" t="s">
        <v>1523</v>
      </c>
      <c r="B11" s="2" t="s">
        <v>1783</v>
      </c>
      <c r="C11" s="272" t="s">
        <v>1784</v>
      </c>
      <c r="E11" s="92" t="s">
        <v>1631</v>
      </c>
      <c r="F11" s="93" t="s">
        <v>1766</v>
      </c>
      <c r="G11" s="93" t="s">
        <v>1625</v>
      </c>
      <c r="K11" s="86" t="s">
        <v>1737</v>
      </c>
      <c r="Z11" s="85"/>
    </row>
    <row r="12" spans="1:26">
      <c r="A12" s="271" t="s">
        <v>1785</v>
      </c>
      <c r="B12" s="2" t="s">
        <v>1786</v>
      </c>
      <c r="C12" s="273"/>
      <c r="E12" s="92" t="s">
        <v>1619</v>
      </c>
      <c r="F12" s="92" t="s">
        <v>1628</v>
      </c>
      <c r="G12" s="93" t="s">
        <v>1627</v>
      </c>
      <c r="K12" s="90" t="s">
        <v>1738</v>
      </c>
      <c r="Z12" s="85"/>
    </row>
    <row r="13" spans="1:26">
      <c r="A13" s="271" t="s">
        <v>1787</v>
      </c>
      <c r="B13" s="2" t="s">
        <v>1788</v>
      </c>
      <c r="C13" s="272" t="s">
        <v>1789</v>
      </c>
      <c r="E13" s="89"/>
      <c r="F13" s="93" t="s">
        <v>1670</v>
      </c>
      <c r="G13" s="93" t="s">
        <v>1618</v>
      </c>
      <c r="K13" s="90" t="s">
        <v>1739</v>
      </c>
      <c r="Z13" s="85"/>
    </row>
    <row r="14" spans="1:26">
      <c r="A14" s="373" t="s">
        <v>28</v>
      </c>
      <c r="B14" s="374" t="s">
        <v>29</v>
      </c>
      <c r="C14" s="375" t="s">
        <v>30</v>
      </c>
      <c r="E14" s="89"/>
      <c r="F14" s="92" t="s">
        <v>1629</v>
      </c>
      <c r="G14" s="93" t="s">
        <v>1626</v>
      </c>
      <c r="Z14" s="85"/>
    </row>
    <row r="15" spans="1:26">
      <c r="A15" s="270" t="s">
        <v>1509</v>
      </c>
      <c r="B15" s="2" t="s">
        <v>1790</v>
      </c>
      <c r="C15" s="270" t="s">
        <v>1509</v>
      </c>
      <c r="E15" s="91" t="s">
        <v>1632</v>
      </c>
      <c r="F15" s="92" t="s">
        <v>1634</v>
      </c>
      <c r="G15" s="93" t="s">
        <v>1766</v>
      </c>
      <c r="Z15" s="85"/>
    </row>
    <row r="16" spans="1:26">
      <c r="A16" s="270" t="s">
        <v>1541</v>
      </c>
      <c r="B16" s="2" t="s">
        <v>1791</v>
      </c>
      <c r="C16" s="270" t="s">
        <v>1541</v>
      </c>
      <c r="E16" s="92" t="s">
        <v>1529</v>
      </c>
      <c r="F16" s="93" t="s">
        <v>1740</v>
      </c>
      <c r="G16" s="93" t="s">
        <v>1628</v>
      </c>
      <c r="K16" s="86" t="s">
        <v>1762</v>
      </c>
      <c r="Z16" s="85"/>
    </row>
    <row r="17" spans="1:26">
      <c r="A17" s="270" t="s">
        <v>1510</v>
      </c>
      <c r="B17" s="169" t="s">
        <v>1792</v>
      </c>
      <c r="C17" s="270" t="s">
        <v>1510</v>
      </c>
      <c r="E17" s="92" t="s">
        <v>1612</v>
      </c>
      <c r="F17" s="93" t="s">
        <v>1681</v>
      </c>
      <c r="G17" s="93" t="s">
        <v>1670</v>
      </c>
      <c r="K17" s="211" t="s">
        <v>1624</v>
      </c>
      <c r="Z17" s="85"/>
    </row>
    <row r="18" spans="1:26">
      <c r="A18" s="270" t="s">
        <v>1511</v>
      </c>
      <c r="B18" s="169" t="s">
        <v>1793</v>
      </c>
      <c r="C18" s="270" t="s">
        <v>1511</v>
      </c>
      <c r="E18" s="92" t="s">
        <v>1613</v>
      </c>
      <c r="F18" s="93" t="s">
        <v>1723</v>
      </c>
      <c r="G18" s="93" t="s">
        <v>1629</v>
      </c>
      <c r="K18" s="199" t="s">
        <v>1624</v>
      </c>
      <c r="Z18" s="85"/>
    </row>
    <row r="19" spans="1:26">
      <c r="A19" s="270" t="s">
        <v>1512</v>
      </c>
      <c r="B19" s="2" t="s">
        <v>1794</v>
      </c>
      <c r="C19" s="273" t="s">
        <v>1795</v>
      </c>
      <c r="E19" s="92" t="s">
        <v>1614</v>
      </c>
      <c r="G19" s="93" t="s">
        <v>1671</v>
      </c>
      <c r="K19" s="199" t="s">
        <v>1626</v>
      </c>
      <c r="Z19" s="85"/>
    </row>
    <row r="20" spans="1:26">
      <c r="A20" s="270" t="s">
        <v>1513</v>
      </c>
      <c r="B20" s="169" t="s">
        <v>1796</v>
      </c>
      <c r="C20" s="270" t="s">
        <v>1513</v>
      </c>
      <c r="E20" s="92" t="s">
        <v>1615</v>
      </c>
      <c r="G20" s="93" t="s">
        <v>1740</v>
      </c>
      <c r="Z20" s="85"/>
    </row>
    <row r="21" spans="1:26">
      <c r="A21" s="270" t="s">
        <v>1514</v>
      </c>
      <c r="B21" s="169" t="s">
        <v>1797</v>
      </c>
      <c r="C21" s="270" t="s">
        <v>1514</v>
      </c>
      <c r="Z21" s="85"/>
    </row>
    <row r="22" spans="1:26">
      <c r="A22" s="270" t="s">
        <v>1506</v>
      </c>
      <c r="B22" s="169" t="s">
        <v>1798</v>
      </c>
      <c r="C22" s="270" t="s">
        <v>1506</v>
      </c>
      <c r="Z22" s="85"/>
    </row>
    <row r="23" spans="1:26">
      <c r="A23" s="270" t="s">
        <v>1515</v>
      </c>
      <c r="B23" s="2" t="s">
        <v>1799</v>
      </c>
      <c r="C23" s="273" t="s">
        <v>1800</v>
      </c>
      <c r="E23" s="91" t="s">
        <v>1640</v>
      </c>
      <c r="F23" s="91" t="s">
        <v>1768</v>
      </c>
      <c r="G23" s="362" t="s">
        <v>23</v>
      </c>
    </row>
    <row r="24" spans="1:26">
      <c r="A24" s="270" t="s">
        <v>1516</v>
      </c>
      <c r="B24" s="169" t="s">
        <v>1801</v>
      </c>
      <c r="C24" s="270" t="s">
        <v>1516</v>
      </c>
      <c r="E24" s="92" t="s">
        <v>1529</v>
      </c>
      <c r="F24" s="93" t="s">
        <v>1627</v>
      </c>
      <c r="G24" s="363" t="s">
        <v>24</v>
      </c>
    </row>
    <row r="25" spans="1:26">
      <c r="A25" s="270" t="s">
        <v>1517</v>
      </c>
      <c r="B25" s="169" t="s">
        <v>1802</v>
      </c>
      <c r="C25" s="270" t="s">
        <v>1517</v>
      </c>
      <c r="E25" s="92" t="s">
        <v>1636</v>
      </c>
      <c r="F25" s="93" t="s">
        <v>1618</v>
      </c>
    </row>
    <row r="26" spans="1:26">
      <c r="A26" s="270" t="s">
        <v>1518</v>
      </c>
      <c r="B26" s="169" t="s">
        <v>1803</v>
      </c>
      <c r="C26" s="270" t="s">
        <v>1518</v>
      </c>
      <c r="E26" s="92" t="s">
        <v>1637</v>
      </c>
      <c r="F26" s="93" t="s">
        <v>1626</v>
      </c>
    </row>
    <row r="27" spans="1:26">
      <c r="A27" s="270" t="s">
        <v>1519</v>
      </c>
      <c r="B27" s="2" t="s">
        <v>1804</v>
      </c>
      <c r="C27" s="270" t="s">
        <v>1519</v>
      </c>
      <c r="E27" s="92" t="s">
        <v>1638</v>
      </c>
      <c r="F27" s="93" t="s">
        <v>1628</v>
      </c>
    </row>
    <row r="28" spans="1:26">
      <c r="A28" s="270" t="s">
        <v>1520</v>
      </c>
      <c r="B28" s="2" t="s">
        <v>1805</v>
      </c>
      <c r="C28" s="270" t="s">
        <v>1520</v>
      </c>
      <c r="E28" s="92" t="s">
        <v>1639</v>
      </c>
      <c r="F28" s="93" t="s">
        <v>1629</v>
      </c>
    </row>
    <row r="29" spans="1:26">
      <c r="A29" s="270" t="s">
        <v>1521</v>
      </c>
      <c r="B29" s="169" t="s">
        <v>1806</v>
      </c>
      <c r="C29" s="270" t="s">
        <v>1521</v>
      </c>
      <c r="E29" s="93" t="s">
        <v>1641</v>
      </c>
      <c r="F29" s="198" t="s">
        <v>1337</v>
      </c>
    </row>
    <row r="30" spans="1:26">
      <c r="A30" s="270" t="s">
        <v>1522</v>
      </c>
      <c r="B30" s="169" t="s">
        <v>1807</v>
      </c>
      <c r="C30" s="270" t="s">
        <v>1522</v>
      </c>
      <c r="E30" s="92" t="s">
        <v>1333</v>
      </c>
      <c r="F30" s="198" t="s">
        <v>1338</v>
      </c>
    </row>
    <row r="31" spans="1:26">
      <c r="A31" s="270" t="s">
        <v>1610</v>
      </c>
      <c r="B31" s="169" t="s">
        <v>1808</v>
      </c>
      <c r="C31" s="270" t="s">
        <v>1610</v>
      </c>
      <c r="E31" s="92" t="s">
        <v>1490</v>
      </c>
      <c r="F31" s="198" t="s">
        <v>1339</v>
      </c>
    </row>
    <row r="32" spans="1:26">
      <c r="A32" s="270" t="s">
        <v>1611</v>
      </c>
      <c r="B32" s="169" t="s">
        <v>1809</v>
      </c>
      <c r="C32" s="270" t="s">
        <v>1611</v>
      </c>
      <c r="E32" s="92" t="s">
        <v>1489</v>
      </c>
      <c r="F32" s="198" t="s">
        <v>1340</v>
      </c>
    </row>
    <row r="33" spans="1:6">
      <c r="A33" s="270" t="s">
        <v>1542</v>
      </c>
      <c r="B33" s="169" t="s">
        <v>1810</v>
      </c>
      <c r="C33" s="270" t="s">
        <v>1542</v>
      </c>
      <c r="E33" s="92" t="s">
        <v>1488</v>
      </c>
      <c r="F33" s="198" t="s">
        <v>1341</v>
      </c>
    </row>
    <row r="34" spans="1:6">
      <c r="A34" s="270" t="s">
        <v>1570</v>
      </c>
      <c r="B34" s="169" t="s">
        <v>1811</v>
      </c>
      <c r="C34" s="270" t="s">
        <v>1570</v>
      </c>
      <c r="F34" s="198" t="s">
        <v>1342</v>
      </c>
    </row>
    <row r="35" spans="1:6">
      <c r="A35" s="270" t="s">
        <v>1571</v>
      </c>
      <c r="B35" s="169" t="s">
        <v>1812</v>
      </c>
      <c r="C35" s="270" t="s">
        <v>1571</v>
      </c>
      <c r="F35" s="198" t="s">
        <v>1343</v>
      </c>
    </row>
    <row r="36" spans="1:6">
      <c r="A36" s="270" t="s">
        <v>1572</v>
      </c>
      <c r="B36" s="2" t="s">
        <v>1813</v>
      </c>
      <c r="C36" s="270" t="s">
        <v>1572</v>
      </c>
      <c r="F36" s="198" t="s">
        <v>1344</v>
      </c>
    </row>
    <row r="37" spans="1:6">
      <c r="A37" s="270" t="s">
        <v>1573</v>
      </c>
      <c r="B37" s="169" t="s">
        <v>1814</v>
      </c>
      <c r="C37" s="270" t="s">
        <v>1573</v>
      </c>
      <c r="F37" s="198" t="s">
        <v>1345</v>
      </c>
    </row>
    <row r="38" spans="1:6">
      <c r="A38" s="270" t="s">
        <v>1574</v>
      </c>
      <c r="B38" s="169" t="s">
        <v>1815</v>
      </c>
      <c r="C38" s="270" t="s">
        <v>1574</v>
      </c>
      <c r="F38" s="198" t="s">
        <v>1346</v>
      </c>
    </row>
    <row r="39" spans="1:6">
      <c r="A39" s="270" t="s">
        <v>1575</v>
      </c>
      <c r="B39" s="169" t="s">
        <v>1816</v>
      </c>
      <c r="C39" s="270" t="s">
        <v>1575</v>
      </c>
      <c r="F39" s="198" t="s">
        <v>1347</v>
      </c>
    </row>
    <row r="40" spans="1:6">
      <c r="A40" s="270" t="s">
        <v>1576</v>
      </c>
      <c r="B40" s="169" t="s">
        <v>1817</v>
      </c>
      <c r="C40" s="270" t="s">
        <v>1576</v>
      </c>
      <c r="F40" s="198" t="s">
        <v>1348</v>
      </c>
    </row>
    <row r="41" spans="1:6">
      <c r="A41" s="270" t="s">
        <v>1577</v>
      </c>
      <c r="B41" s="169" t="s">
        <v>1818</v>
      </c>
      <c r="C41" s="270" t="s">
        <v>1577</v>
      </c>
      <c r="F41" s="198" t="s">
        <v>1349</v>
      </c>
    </row>
    <row r="42" spans="1:6">
      <c r="A42" s="270" t="s">
        <v>1543</v>
      </c>
      <c r="B42" s="2" t="s">
        <v>1819</v>
      </c>
      <c r="C42" s="270" t="s">
        <v>1543</v>
      </c>
      <c r="F42" s="198" t="s">
        <v>1350</v>
      </c>
    </row>
    <row r="43" spans="1:6">
      <c r="A43" s="270" t="s">
        <v>1544</v>
      </c>
      <c r="B43" s="169" t="s">
        <v>1820</v>
      </c>
      <c r="C43" s="270" t="s">
        <v>1544</v>
      </c>
      <c r="F43" s="198" t="s">
        <v>1351</v>
      </c>
    </row>
    <row r="44" spans="1:6">
      <c r="A44" s="270" t="s">
        <v>1545</v>
      </c>
      <c r="B44" s="169" t="s">
        <v>1821</v>
      </c>
      <c r="C44" s="270" t="s">
        <v>1545</v>
      </c>
      <c r="F44" s="198" t="s">
        <v>1352</v>
      </c>
    </row>
    <row r="45" spans="1:6">
      <c r="A45" s="270" t="s">
        <v>1609</v>
      </c>
      <c r="B45" s="2" t="s">
        <v>1822</v>
      </c>
      <c r="C45" s="270" t="s">
        <v>1609</v>
      </c>
      <c r="F45" s="198" t="s">
        <v>1353</v>
      </c>
    </row>
    <row r="46" spans="1:6">
      <c r="A46" s="270" t="s">
        <v>1561</v>
      </c>
      <c r="B46" s="169" t="s">
        <v>1823</v>
      </c>
      <c r="C46" s="270" t="s">
        <v>1561</v>
      </c>
      <c r="F46" s="198" t="s">
        <v>1354</v>
      </c>
    </row>
    <row r="47" spans="1:6">
      <c r="A47" s="270" t="s">
        <v>1562</v>
      </c>
      <c r="B47" s="2" t="s">
        <v>1824</v>
      </c>
      <c r="C47" s="270" t="s">
        <v>1562</v>
      </c>
      <c r="F47" s="198" t="s">
        <v>1355</v>
      </c>
    </row>
    <row r="48" spans="1:6">
      <c r="A48" s="270" t="s">
        <v>1563</v>
      </c>
      <c r="B48" s="2" t="s">
        <v>1825</v>
      </c>
      <c r="C48" s="270" t="s">
        <v>1563</v>
      </c>
      <c r="F48" s="198" t="s">
        <v>1356</v>
      </c>
    </row>
    <row r="49" spans="1:6">
      <c r="A49" s="270" t="s">
        <v>1564</v>
      </c>
      <c r="B49" s="2" t="s">
        <v>1826</v>
      </c>
      <c r="C49" s="270" t="s">
        <v>1564</v>
      </c>
      <c r="F49" s="198" t="s">
        <v>1357</v>
      </c>
    </row>
    <row r="50" spans="1:6">
      <c r="A50" s="270" t="s">
        <v>1565</v>
      </c>
      <c r="B50" s="2" t="s">
        <v>1827</v>
      </c>
      <c r="C50" s="270" t="s">
        <v>1565</v>
      </c>
      <c r="F50" s="198" t="s">
        <v>1358</v>
      </c>
    </row>
    <row r="51" spans="1:6">
      <c r="A51" s="270" t="s">
        <v>1567</v>
      </c>
      <c r="B51" s="2" t="s">
        <v>1828</v>
      </c>
      <c r="C51" s="270" t="s">
        <v>1567</v>
      </c>
      <c r="F51" s="198" t="s">
        <v>1359</v>
      </c>
    </row>
    <row r="52" spans="1:6">
      <c r="A52" s="270" t="s">
        <v>1568</v>
      </c>
      <c r="B52" s="2" t="s">
        <v>1829</v>
      </c>
      <c r="C52" s="270" t="s">
        <v>1568</v>
      </c>
      <c r="F52" s="198" t="s">
        <v>1360</v>
      </c>
    </row>
    <row r="53" spans="1:6">
      <c r="A53" s="270" t="s">
        <v>1569</v>
      </c>
      <c r="B53" s="2" t="s">
        <v>1830</v>
      </c>
      <c r="C53" s="270" t="s">
        <v>1569</v>
      </c>
      <c r="F53" s="198" t="s">
        <v>1361</v>
      </c>
    </row>
    <row r="54" spans="1:6">
      <c r="A54" s="270" t="s">
        <v>1592</v>
      </c>
      <c r="B54" s="2" t="s">
        <v>1831</v>
      </c>
      <c r="C54" s="270" t="s">
        <v>1592</v>
      </c>
      <c r="F54" s="198" t="s">
        <v>1362</v>
      </c>
    </row>
    <row r="55" spans="1:6">
      <c r="A55" s="270" t="s">
        <v>1593</v>
      </c>
      <c r="B55" s="2" t="s">
        <v>1832</v>
      </c>
      <c r="C55" s="270" t="s">
        <v>1593</v>
      </c>
      <c r="F55" s="198" t="s">
        <v>1363</v>
      </c>
    </row>
    <row r="56" spans="1:6">
      <c r="A56" s="376" t="s">
        <v>31</v>
      </c>
      <c r="B56" s="374" t="s">
        <v>32</v>
      </c>
      <c r="C56" s="377" t="s">
        <v>33</v>
      </c>
      <c r="F56" s="198" t="s">
        <v>1364</v>
      </c>
    </row>
    <row r="57" spans="1:6">
      <c r="A57" s="270" t="s">
        <v>1594</v>
      </c>
      <c r="B57" s="2" t="s">
        <v>1833</v>
      </c>
      <c r="C57" s="270" t="s">
        <v>1594</v>
      </c>
      <c r="F57" s="198" t="s">
        <v>1365</v>
      </c>
    </row>
    <row r="58" spans="1:6">
      <c r="A58" s="270" t="s">
        <v>1595</v>
      </c>
      <c r="B58" s="2" t="s">
        <v>1834</v>
      </c>
      <c r="C58" s="270" t="s">
        <v>1595</v>
      </c>
      <c r="F58" s="198" t="s">
        <v>1366</v>
      </c>
    </row>
    <row r="59" spans="1:6">
      <c r="A59" s="270" t="s">
        <v>1596</v>
      </c>
      <c r="B59" s="2" t="s">
        <v>1835</v>
      </c>
      <c r="C59" s="270" t="s">
        <v>1596</v>
      </c>
      <c r="F59" s="198" t="s">
        <v>1367</v>
      </c>
    </row>
    <row r="60" spans="1:6">
      <c r="A60" s="270" t="s">
        <v>1597</v>
      </c>
      <c r="B60" s="2" t="s">
        <v>1836</v>
      </c>
      <c r="C60" s="273" t="s">
        <v>1837</v>
      </c>
      <c r="F60" s="198" t="s">
        <v>1368</v>
      </c>
    </row>
    <row r="61" spans="1:6">
      <c r="A61" s="270" t="s">
        <v>1598</v>
      </c>
      <c r="B61" s="169" t="s">
        <v>1838</v>
      </c>
      <c r="C61" s="270" t="s">
        <v>1598</v>
      </c>
      <c r="F61" s="198" t="s">
        <v>1369</v>
      </c>
    </row>
    <row r="62" spans="1:6">
      <c r="A62" s="270" t="s">
        <v>1599</v>
      </c>
      <c r="B62" s="2" t="s">
        <v>1839</v>
      </c>
      <c r="C62" s="273" t="s">
        <v>1840</v>
      </c>
      <c r="F62" s="198" t="s">
        <v>1370</v>
      </c>
    </row>
    <row r="63" spans="1:6">
      <c r="A63" s="270" t="s">
        <v>1600</v>
      </c>
      <c r="B63" s="2" t="s">
        <v>1841</v>
      </c>
      <c r="C63" s="270" t="s">
        <v>1600</v>
      </c>
      <c r="F63" s="198" t="s">
        <v>1371</v>
      </c>
    </row>
    <row r="64" spans="1:6">
      <c r="A64" s="270" t="s">
        <v>1601</v>
      </c>
      <c r="B64" s="2" t="s">
        <v>1842</v>
      </c>
      <c r="C64" s="270" t="s">
        <v>1601</v>
      </c>
      <c r="F64" s="198" t="s">
        <v>1372</v>
      </c>
    </row>
    <row r="65" spans="1:6">
      <c r="A65" s="270" t="s">
        <v>1602</v>
      </c>
      <c r="B65" s="2" t="s">
        <v>1843</v>
      </c>
      <c r="C65" s="270" t="s">
        <v>1602</v>
      </c>
    </row>
    <row r="66" spans="1:6">
      <c r="A66" s="270" t="s">
        <v>1603</v>
      </c>
      <c r="B66" s="2" t="s">
        <v>1844</v>
      </c>
      <c r="C66" s="270" t="s">
        <v>1603</v>
      </c>
    </row>
    <row r="67" spans="1:6">
      <c r="A67" s="270" t="s">
        <v>1604</v>
      </c>
      <c r="B67" s="2" t="s">
        <v>1845</v>
      </c>
      <c r="C67" s="270" t="s">
        <v>1604</v>
      </c>
      <c r="E67" s="91" t="s">
        <v>1879</v>
      </c>
      <c r="F67" s="91" t="s">
        <v>1721</v>
      </c>
    </row>
    <row r="68" spans="1:6">
      <c r="A68" s="270" t="s">
        <v>1585</v>
      </c>
      <c r="B68" s="2" t="s">
        <v>1846</v>
      </c>
      <c r="C68" s="270" t="s">
        <v>1585</v>
      </c>
      <c r="E68" s="92" t="s">
        <v>1529</v>
      </c>
      <c r="F68" s="93" t="s">
        <v>1633</v>
      </c>
    </row>
    <row r="69" spans="1:6">
      <c r="A69" s="270" t="s">
        <v>1586</v>
      </c>
      <c r="B69" s="2" t="s">
        <v>1847</v>
      </c>
      <c r="C69" s="270" t="s">
        <v>1586</v>
      </c>
      <c r="E69" s="93" t="s">
        <v>1881</v>
      </c>
      <c r="F69" s="93" t="s">
        <v>1719</v>
      </c>
    </row>
    <row r="70" spans="1:6">
      <c r="A70" s="270" t="s">
        <v>1587</v>
      </c>
      <c r="B70" s="2" t="s">
        <v>1848</v>
      </c>
      <c r="C70" s="270" t="s">
        <v>1587</v>
      </c>
      <c r="E70" s="93" t="s">
        <v>1882</v>
      </c>
      <c r="F70" s="92" t="s">
        <v>1623</v>
      </c>
    </row>
    <row r="71" spans="1:6">
      <c r="A71" s="270" t="s">
        <v>1588</v>
      </c>
      <c r="B71" s="2" t="s">
        <v>1849</v>
      </c>
      <c r="C71" s="270" t="s">
        <v>1588</v>
      </c>
      <c r="E71" s="93" t="s">
        <v>1880</v>
      </c>
      <c r="F71" s="92" t="s">
        <v>1624</v>
      </c>
    </row>
    <row r="72" spans="1:6">
      <c r="A72" s="270" t="s">
        <v>1589</v>
      </c>
      <c r="B72" s="2" t="s">
        <v>1850</v>
      </c>
      <c r="C72" s="270" t="s">
        <v>1589</v>
      </c>
      <c r="F72" s="92" t="s">
        <v>1625</v>
      </c>
    </row>
    <row r="73" spans="1:6">
      <c r="A73" s="270" t="s">
        <v>1590</v>
      </c>
      <c r="B73" s="2" t="s">
        <v>1851</v>
      </c>
      <c r="C73" s="270" t="s">
        <v>1590</v>
      </c>
      <c r="F73" s="93" t="s">
        <v>1627</v>
      </c>
    </row>
    <row r="74" spans="1:6">
      <c r="A74" s="270" t="s">
        <v>1591</v>
      </c>
      <c r="B74" s="2" t="s">
        <v>1852</v>
      </c>
      <c r="C74" s="270" t="s">
        <v>1591</v>
      </c>
      <c r="F74" s="93" t="s">
        <v>1618</v>
      </c>
    </row>
    <row r="75" spans="1:6">
      <c r="A75" s="270" t="s">
        <v>1581</v>
      </c>
      <c r="B75" s="2" t="s">
        <v>1853</v>
      </c>
      <c r="C75" s="270" t="s">
        <v>1581</v>
      </c>
      <c r="F75" s="93" t="s">
        <v>1626</v>
      </c>
    </row>
    <row r="76" spans="1:6">
      <c r="A76" s="270" t="s">
        <v>1582</v>
      </c>
      <c r="B76" s="2" t="s">
        <v>1854</v>
      </c>
      <c r="C76" s="270" t="s">
        <v>1582</v>
      </c>
      <c r="F76" s="93" t="s">
        <v>1766</v>
      </c>
    </row>
    <row r="77" spans="1:6">
      <c r="A77" s="270" t="s">
        <v>1583</v>
      </c>
      <c r="B77" s="2" t="s">
        <v>1855</v>
      </c>
      <c r="C77" s="273" t="s">
        <v>1856</v>
      </c>
      <c r="F77" s="92" t="s">
        <v>1628</v>
      </c>
    </row>
    <row r="78" spans="1:6">
      <c r="A78" s="270" t="s">
        <v>1584</v>
      </c>
      <c r="B78" s="2" t="s">
        <v>1857</v>
      </c>
      <c r="C78" s="270" t="s">
        <v>1584</v>
      </c>
      <c r="F78" s="93" t="s">
        <v>1670</v>
      </c>
    </row>
    <row r="79" spans="1:6">
      <c r="A79" s="270" t="s">
        <v>1531</v>
      </c>
      <c r="B79" s="2" t="s">
        <v>1858</v>
      </c>
      <c r="C79" s="270" t="s">
        <v>1531</v>
      </c>
      <c r="F79" s="92" t="s">
        <v>1629</v>
      </c>
    </row>
    <row r="80" spans="1:6">
      <c r="A80" s="270" t="s">
        <v>1532</v>
      </c>
      <c r="B80" s="2" t="s">
        <v>1859</v>
      </c>
      <c r="C80" s="270" t="s">
        <v>1532</v>
      </c>
      <c r="F80" s="92" t="s">
        <v>1634</v>
      </c>
    </row>
    <row r="81" spans="1:6">
      <c r="A81" s="270" t="s">
        <v>1533</v>
      </c>
      <c r="B81" s="2" t="s">
        <v>1860</v>
      </c>
      <c r="C81" s="270" t="s">
        <v>1533</v>
      </c>
      <c r="F81" s="93" t="s">
        <v>1740</v>
      </c>
    </row>
    <row r="82" spans="1:6">
      <c r="A82" s="270" t="s">
        <v>1534</v>
      </c>
      <c r="B82" s="2" t="s">
        <v>1861</v>
      </c>
      <c r="C82" s="273" t="s">
        <v>1862</v>
      </c>
      <c r="F82" s="198" t="s">
        <v>1756</v>
      </c>
    </row>
    <row r="83" spans="1:6">
      <c r="A83" s="270" t="s">
        <v>1535</v>
      </c>
      <c r="B83" s="2" t="s">
        <v>1863</v>
      </c>
      <c r="C83" s="273" t="s">
        <v>1864</v>
      </c>
      <c r="F83" s="93" t="s">
        <v>1723</v>
      </c>
    </row>
    <row r="84" spans="1:6">
      <c r="A84" s="270" t="s">
        <v>1536</v>
      </c>
      <c r="B84" s="2" t="s">
        <v>1865</v>
      </c>
      <c r="C84" s="270" t="s">
        <v>1536</v>
      </c>
      <c r="F84" s="93" t="s">
        <v>1635</v>
      </c>
    </row>
    <row r="85" spans="1:6">
      <c r="A85" s="270" t="s">
        <v>1537</v>
      </c>
      <c r="B85" s="169" t="s">
        <v>1866</v>
      </c>
      <c r="C85" s="270" t="s">
        <v>1537</v>
      </c>
      <c r="F85" s="93" t="s">
        <v>1720</v>
      </c>
    </row>
    <row r="86" spans="1:6">
      <c r="A86" s="270" t="s">
        <v>1538</v>
      </c>
      <c r="B86" s="2" t="s">
        <v>1867</v>
      </c>
      <c r="C86" s="270" t="s">
        <v>1538</v>
      </c>
      <c r="F86" s="93" t="s">
        <v>1396</v>
      </c>
    </row>
    <row r="87" spans="1:6">
      <c r="A87" s="274"/>
      <c r="B87" s="275"/>
      <c r="C87" s="277" t="s">
        <v>1588</v>
      </c>
      <c r="E87" s="16"/>
      <c r="F87" s="93" t="s">
        <v>1711</v>
      </c>
    </row>
    <row r="88" spans="1:6">
      <c r="F88" s="93" t="s">
        <v>1397</v>
      </c>
    </row>
    <row r="89" spans="1:6">
      <c r="F89" s="93" t="s">
        <v>1710</v>
      </c>
    </row>
    <row r="90" spans="1:6">
      <c r="F90" s="93" t="s">
        <v>1398</v>
      </c>
    </row>
    <row r="91" spans="1:6">
      <c r="F91" s="93" t="s">
        <v>1712</v>
      </c>
    </row>
    <row r="92" spans="1:6">
      <c r="F92" s="93" t="s">
        <v>1399</v>
      </c>
    </row>
    <row r="93" spans="1:6">
      <c r="F93" s="93" t="s">
        <v>1400</v>
      </c>
    </row>
    <row r="94" spans="1:6">
      <c r="F94" s="93" t="s">
        <v>1401</v>
      </c>
    </row>
    <row r="95" spans="1:6">
      <c r="F95" s="93" t="s">
        <v>1402</v>
      </c>
    </row>
    <row r="96" spans="1:6">
      <c r="F96" s="93" t="s">
        <v>1403</v>
      </c>
    </row>
    <row r="97" spans="6:10">
      <c r="F97" s="93" t="s">
        <v>1404</v>
      </c>
    </row>
    <row r="98" spans="6:10">
      <c r="F98" s="93" t="s">
        <v>1405</v>
      </c>
    </row>
    <row r="99" spans="6:10">
      <c r="F99" s="93" t="s">
        <v>1406</v>
      </c>
      <c r="G99" s="276"/>
      <c r="J99" s="95"/>
    </row>
    <row r="100" spans="6:10">
      <c r="F100" s="93" t="s">
        <v>1407</v>
      </c>
      <c r="G100" s="219" t="str">
        <f>"3" &amp; ".1.1.1"</f>
        <v>3.1.1.1</v>
      </c>
      <c r="J100" s="95"/>
    </row>
    <row r="101" spans="6:10">
      <c r="F101" s="93" t="s">
        <v>1408</v>
      </c>
      <c r="G101" s="219" t="str">
        <f>"3" &amp; ".1.1.2"</f>
        <v>3.1.1.2</v>
      </c>
      <c r="J101" s="95"/>
    </row>
    <row r="102" spans="6:10">
      <c r="F102" s="93" t="s">
        <v>1409</v>
      </c>
      <c r="G102" s="219" t="str">
        <f>"3" &amp; ".1.2.1"</f>
        <v>3.1.2.1</v>
      </c>
      <c r="J102" s="95"/>
    </row>
    <row r="103" spans="6:10">
      <c r="F103" s="93" t="s">
        <v>1410</v>
      </c>
      <c r="G103" s="219" t="str">
        <f>"3" &amp; ".1.2.2"</f>
        <v>3.1.2.2</v>
      </c>
      <c r="J103" s="95"/>
    </row>
    <row r="104" spans="6:10">
      <c r="F104" s="93" t="s">
        <v>1411</v>
      </c>
      <c r="G104" s="219" t="str">
        <f>"3" &amp; ".1.3.1"</f>
        <v>3.1.3.1</v>
      </c>
      <c r="J104" s="95"/>
    </row>
    <row r="105" spans="6:10">
      <c r="F105" s="93" t="s">
        <v>1412</v>
      </c>
      <c r="G105" s="219" t="str">
        <f>"3" &amp; ".1.3.2"</f>
        <v>3.1.3.2</v>
      </c>
      <c r="J105" s="95"/>
    </row>
    <row r="106" spans="6:10">
      <c r="F106" s="93" t="s">
        <v>1413</v>
      </c>
      <c r="G106" s="219" t="str">
        <f>"3" &amp; ".2.1"</f>
        <v>3.2.1</v>
      </c>
      <c r="J106" s="95"/>
    </row>
    <row r="107" spans="6:10">
      <c r="F107" s="93" t="s">
        <v>1414</v>
      </c>
      <c r="G107" s="219" t="str">
        <f>"3" &amp; ".2.2"</f>
        <v>3.2.2</v>
      </c>
      <c r="J107" s="95"/>
    </row>
    <row r="108" spans="6:10">
      <c r="F108" s="93" t="s">
        <v>1415</v>
      </c>
      <c r="G108" s="219" t="str">
        <f>"3" &amp; ".2.3"</f>
        <v>3.2.3</v>
      </c>
      <c r="J108" s="95"/>
    </row>
    <row r="109" spans="6:10">
      <c r="F109" s="93" t="s">
        <v>1416</v>
      </c>
      <c r="G109" s="219" t="str">
        <f>"3" &amp; ".3.1"</f>
        <v>3.3.1</v>
      </c>
      <c r="J109" s="95"/>
    </row>
    <row r="110" spans="6:10">
      <c r="F110" s="93" t="s">
        <v>1417</v>
      </c>
      <c r="G110" s="219" t="str">
        <f>"3" &amp; ".3.2"</f>
        <v>3.3.2</v>
      </c>
      <c r="J110" s="95"/>
    </row>
    <row r="111" spans="6:10">
      <c r="F111" s="93" t="s">
        <v>1418</v>
      </c>
      <c r="G111" s="181" t="str">
        <f>"3" &amp; ".4.1.1"</f>
        <v>3.4.1.1</v>
      </c>
      <c r="J111" s="95"/>
    </row>
    <row r="112" spans="6:10">
      <c r="F112" s="93" t="s">
        <v>1419</v>
      </c>
      <c r="G112" s="181" t="str">
        <f>"3" &amp; ".4.1.2"</f>
        <v>3.4.1.2</v>
      </c>
      <c r="J112" s="95"/>
    </row>
    <row r="113" spans="6:26">
      <c r="F113" s="93" t="s">
        <v>1420</v>
      </c>
      <c r="G113" s="181" t="str">
        <f>"3" &amp; ".4.2"</f>
        <v>3.4.2</v>
      </c>
      <c r="J113" s="95"/>
    </row>
    <row r="114" spans="6:26">
      <c r="F114" s="93" t="s">
        <v>1421</v>
      </c>
      <c r="G114" s="181" t="str">
        <f>"3" &amp; ".5.1.1"</f>
        <v>3.5.1.1</v>
      </c>
      <c r="J114" s="95"/>
      <c r="Y114" s="88"/>
      <c r="Z114" s="85"/>
    </row>
    <row r="115" spans="6:26">
      <c r="F115" s="93" t="s">
        <v>1422</v>
      </c>
      <c r="G115" s="181" t="str">
        <f>"3" &amp; ".5.1.2"</f>
        <v>3.5.1.2</v>
      </c>
      <c r="J115" s="95"/>
    </row>
    <row r="116" spans="6:26">
      <c r="F116" s="93" t="s">
        <v>1423</v>
      </c>
      <c r="G116" s="181" t="str">
        <f>"3" &amp; ".5.2"</f>
        <v>3.5.2</v>
      </c>
      <c r="J116" s="95"/>
    </row>
    <row r="117" spans="6:26">
      <c r="F117" s="93" t="s">
        <v>1424</v>
      </c>
      <c r="G117" s="181" t="str">
        <f>"3" &amp; ".5.3.1"</f>
        <v>3.5.3.1</v>
      </c>
      <c r="J117" s="95"/>
    </row>
    <row r="118" spans="6:26">
      <c r="F118" s="93" t="s">
        <v>1425</v>
      </c>
      <c r="G118" s="181" t="str">
        <f>"3" &amp; ".5.3.2"</f>
        <v>3.5.3.2</v>
      </c>
      <c r="J118" s="95"/>
    </row>
    <row r="119" spans="6:26">
      <c r="F119" s="93" t="s">
        <v>1426</v>
      </c>
      <c r="G119" s="181" t="str">
        <f>"3" &amp; ".6.1.1"</f>
        <v>3.6.1.1</v>
      </c>
      <c r="J119" s="95"/>
    </row>
    <row r="120" spans="6:26">
      <c r="F120" s="93" t="s">
        <v>1427</v>
      </c>
      <c r="G120" s="181" t="str">
        <f>"3" &amp; ".6.1.2"</f>
        <v>3.6.1.2</v>
      </c>
      <c r="J120" s="95"/>
    </row>
    <row r="121" spans="6:26">
      <c r="F121" s="93" t="s">
        <v>1714</v>
      </c>
      <c r="G121" s="181" t="str">
        <f>"3" &amp; ".6.2"</f>
        <v>3.6.2</v>
      </c>
      <c r="J121" s="95"/>
    </row>
    <row r="122" spans="6:26">
      <c r="F122" s="93" t="s">
        <v>1428</v>
      </c>
      <c r="G122" s="181" t="str">
        <f>"3" &amp; ".6.3.1"</f>
        <v>3.6.3.1</v>
      </c>
      <c r="J122" s="95"/>
    </row>
    <row r="123" spans="6:26">
      <c r="F123" s="93" t="s">
        <v>1713</v>
      </c>
      <c r="G123" s="181" t="str">
        <f>"3" &amp; ".6.3.2"</f>
        <v>3.6.3.2</v>
      </c>
      <c r="J123" s="95"/>
    </row>
    <row r="124" spans="6:26">
      <c r="F124" s="93" t="s">
        <v>1429</v>
      </c>
      <c r="G124" s="181" t="str">
        <f>"3" &amp; ".7.1.1"</f>
        <v>3.7.1.1</v>
      </c>
      <c r="J124" s="95"/>
    </row>
    <row r="125" spans="6:26">
      <c r="F125" s="93" t="s">
        <v>1715</v>
      </c>
      <c r="G125" s="181" t="str">
        <f>"3" &amp; ".7.1.2"</f>
        <v>3.7.1.2</v>
      </c>
      <c r="J125" s="95"/>
    </row>
    <row r="126" spans="6:26">
      <c r="F126" s="93" t="s">
        <v>1743</v>
      </c>
      <c r="G126" s="181" t="str">
        <f>"3" &amp; ".7.2"</f>
        <v>3.7.2</v>
      </c>
      <c r="J126" s="95"/>
    </row>
    <row r="127" spans="6:26">
      <c r="F127" s="93" t="s">
        <v>1430</v>
      </c>
      <c r="G127" s="181" t="str">
        <f>"3" &amp; ".7.3.1"</f>
        <v>3.7.3.1</v>
      </c>
      <c r="J127" s="95"/>
    </row>
    <row r="128" spans="6:26">
      <c r="F128" s="93" t="s">
        <v>1431</v>
      </c>
      <c r="G128" s="181" t="str">
        <f>"3" &amp; ".7.3.2"</f>
        <v>3.7.3.2</v>
      </c>
      <c r="J128" s="95"/>
    </row>
    <row r="129" spans="1:10">
      <c r="F129" s="93" t="s">
        <v>1432</v>
      </c>
      <c r="G129" s="181" t="str">
        <f>"3" &amp; ".8.1"</f>
        <v>3.8.1</v>
      </c>
      <c r="J129" s="95"/>
    </row>
    <row r="130" spans="1:10" s="16" customFormat="1">
      <c r="A130" s="85"/>
      <c r="B130" s="85"/>
      <c r="C130" s="85"/>
      <c r="E130" s="85"/>
      <c r="F130" s="93" t="s">
        <v>1433</v>
      </c>
      <c r="G130" s="181" t="str">
        <f>"3" &amp; ".8.2"</f>
        <v>3.8.2</v>
      </c>
      <c r="J130" s="95"/>
    </row>
    <row r="131" spans="1:10">
      <c r="F131" s="93" t="s">
        <v>1434</v>
      </c>
      <c r="G131" s="181" t="str">
        <f>"3" &amp; ".9"</f>
        <v>3.9</v>
      </c>
      <c r="J131" s="95"/>
    </row>
    <row r="132" spans="1:10">
      <c r="A132" s="16"/>
      <c r="B132" s="16"/>
      <c r="C132" s="16"/>
      <c r="F132" s="93" t="s">
        <v>1435</v>
      </c>
      <c r="G132" s="181" t="str">
        <f>"3" &amp; ".10.1"</f>
        <v>3.10.1</v>
      </c>
      <c r="J132" s="95"/>
    </row>
    <row r="133" spans="1:10">
      <c r="F133" s="93" t="s">
        <v>1436</v>
      </c>
      <c r="G133" s="181" t="str">
        <f>"3" &amp; ".10.2"</f>
        <v>3.10.2</v>
      </c>
      <c r="J133" s="95"/>
    </row>
    <row r="134" spans="1:10">
      <c r="F134" s="93" t="s">
        <v>1437</v>
      </c>
      <c r="G134" s="219" t="str">
        <f>"2" &amp; ".1.1.1"</f>
        <v>2.1.1.1</v>
      </c>
      <c r="J134" s="95"/>
    </row>
    <row r="135" spans="1:10">
      <c r="F135" s="93" t="s">
        <v>1438</v>
      </c>
      <c r="G135" s="219" t="str">
        <f>"2" &amp; ".1.1.2"</f>
        <v>2.1.1.2</v>
      </c>
      <c r="J135" s="95"/>
    </row>
    <row r="136" spans="1:10">
      <c r="F136" s="93" t="s">
        <v>1439</v>
      </c>
      <c r="G136" s="219" t="str">
        <f>"2" &amp; ".1.2.1"</f>
        <v>2.1.2.1</v>
      </c>
      <c r="J136" s="95"/>
    </row>
    <row r="137" spans="1:10">
      <c r="F137" s="93" t="s">
        <v>1440</v>
      </c>
      <c r="G137" s="219" t="str">
        <f>"2" &amp; ".1.2.2"</f>
        <v>2.1.2.2</v>
      </c>
      <c r="J137" s="95"/>
    </row>
    <row r="138" spans="1:10">
      <c r="F138" s="93" t="s">
        <v>1441</v>
      </c>
      <c r="G138" s="219" t="str">
        <f>"2" &amp; ".1.3.1"</f>
        <v>2.1.3.1</v>
      </c>
      <c r="J138" s="95"/>
    </row>
    <row r="139" spans="1:10">
      <c r="F139" s="93" t="s">
        <v>1442</v>
      </c>
      <c r="G139" s="219" t="str">
        <f>"2" &amp; ".1.3.2"</f>
        <v>2.1.3.2</v>
      </c>
      <c r="J139" s="95"/>
    </row>
    <row r="140" spans="1:10">
      <c r="F140" s="93" t="s">
        <v>1443</v>
      </c>
      <c r="G140" s="219" t="str">
        <f>"2" &amp; ".2.1"</f>
        <v>2.2.1</v>
      </c>
      <c r="J140" s="95"/>
    </row>
    <row r="141" spans="1:10">
      <c r="F141" s="93" t="s">
        <v>1444</v>
      </c>
      <c r="G141" s="219" t="str">
        <f>"2" &amp; ".2.2"</f>
        <v>2.2.2</v>
      </c>
      <c r="J141" s="95"/>
    </row>
    <row r="142" spans="1:10">
      <c r="F142" s="93" t="s">
        <v>1445</v>
      </c>
      <c r="G142" s="219" t="str">
        <f>"2" &amp; ".2.3"</f>
        <v>2.2.3</v>
      </c>
      <c r="J142" s="95"/>
    </row>
    <row r="143" spans="1:10">
      <c r="F143" s="93" t="s">
        <v>1446</v>
      </c>
      <c r="G143" s="219" t="str">
        <f>"2" &amp; ".3.1"</f>
        <v>2.3.1</v>
      </c>
      <c r="J143" s="95"/>
    </row>
    <row r="144" spans="1:10">
      <c r="F144" s="93" t="s">
        <v>1447</v>
      </c>
      <c r="G144" s="219" t="str">
        <f>"2" &amp; ".3.2"</f>
        <v>2.3.2</v>
      </c>
      <c r="J144" s="95"/>
    </row>
    <row r="145" spans="6:31">
      <c r="F145" s="93" t="s">
        <v>1448</v>
      </c>
      <c r="G145" s="181" t="str">
        <f>"2" &amp; ".4.1.1"</f>
        <v>2.4.1.1</v>
      </c>
      <c r="J145" s="95"/>
    </row>
    <row r="146" spans="6:31">
      <c r="F146" s="93" t="s">
        <v>1449</v>
      </c>
      <c r="G146" s="181" t="str">
        <f>"2" &amp; ".4.1.2"</f>
        <v>2.4.1.2</v>
      </c>
      <c r="J146" s="95"/>
    </row>
    <row r="147" spans="6:31">
      <c r="F147" s="93" t="s">
        <v>1450</v>
      </c>
      <c r="G147" s="181" t="str">
        <f>"2" &amp; ".4.2"</f>
        <v>2.4.2</v>
      </c>
      <c r="H147" s="94"/>
      <c r="I147" s="94"/>
      <c r="J147" s="95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4"/>
      <c r="AD147" s="94"/>
      <c r="AE147" s="94"/>
    </row>
    <row r="148" spans="6:31">
      <c r="F148" s="93" t="s">
        <v>1451</v>
      </c>
      <c r="G148" s="181" t="str">
        <f>"2" &amp; ".5.1.1"</f>
        <v>2.5.1.1</v>
      </c>
      <c r="J148" s="95"/>
    </row>
    <row r="149" spans="6:31">
      <c r="F149" s="93" t="s">
        <v>1452</v>
      </c>
      <c r="G149" s="181" t="str">
        <f>"2" &amp; ".5.1.2"</f>
        <v>2.5.1.2</v>
      </c>
      <c r="J149" s="95"/>
    </row>
    <row r="150" spans="6:31">
      <c r="F150" s="93" t="s">
        <v>1453</v>
      </c>
      <c r="G150" s="181" t="str">
        <f>"2" &amp; ".5.2"</f>
        <v>2.5.2</v>
      </c>
      <c r="J150" s="95"/>
    </row>
    <row r="151" spans="6:31">
      <c r="F151" s="93" t="s">
        <v>1454</v>
      </c>
      <c r="G151" s="181" t="str">
        <f>"2" &amp; ".5.3.1"</f>
        <v>2.5.3.1</v>
      </c>
      <c r="J151" s="95"/>
    </row>
    <row r="152" spans="6:31">
      <c r="F152" s="93" t="s">
        <v>1455</v>
      </c>
      <c r="G152" s="181" t="str">
        <f>"2" &amp; ".5.3.2"</f>
        <v>2.5.3.2</v>
      </c>
      <c r="J152" s="95"/>
    </row>
    <row r="153" spans="6:31">
      <c r="F153" s="93" t="s">
        <v>1456</v>
      </c>
      <c r="G153" s="181" t="str">
        <f>"2" &amp; ".6.1.1"</f>
        <v>2.6.1.1</v>
      </c>
      <c r="J153" s="95"/>
    </row>
    <row r="154" spans="6:31">
      <c r="F154" s="93" t="s">
        <v>1457</v>
      </c>
      <c r="G154" s="181" t="str">
        <f>"2" &amp; ".6.1.2"</f>
        <v>2.6.1.2</v>
      </c>
      <c r="J154" s="95"/>
    </row>
    <row r="155" spans="6:31">
      <c r="F155" s="93" t="s">
        <v>1717</v>
      </c>
      <c r="G155" s="181" t="str">
        <f>"2" &amp; ".6.2"</f>
        <v>2.6.2</v>
      </c>
      <c r="J155" s="95"/>
    </row>
    <row r="156" spans="6:31">
      <c r="F156" s="93" t="s">
        <v>1458</v>
      </c>
      <c r="G156" s="181" t="str">
        <f>"2" &amp; ".6.3.1"</f>
        <v>2.6.3.1</v>
      </c>
      <c r="J156" s="95"/>
    </row>
    <row r="157" spans="6:31">
      <c r="F157" s="93" t="s">
        <v>1716</v>
      </c>
      <c r="G157" s="181" t="str">
        <f>"2" &amp; ".6.3.2"</f>
        <v>2.6.3.2</v>
      </c>
      <c r="J157" s="95"/>
    </row>
    <row r="158" spans="6:31">
      <c r="F158" s="93" t="s">
        <v>1459</v>
      </c>
      <c r="G158" s="181" t="str">
        <f>"2" &amp; ".7.1.1"</f>
        <v>2.7.1.1</v>
      </c>
      <c r="J158" s="95"/>
    </row>
    <row r="159" spans="6:31">
      <c r="F159" s="93" t="s">
        <v>1718</v>
      </c>
      <c r="G159" s="181" t="str">
        <f>"2" &amp; ".7.1.2"</f>
        <v>2.7.1.2</v>
      </c>
      <c r="J159" s="95"/>
    </row>
    <row r="160" spans="6:31">
      <c r="F160" s="93" t="s">
        <v>1460</v>
      </c>
      <c r="G160" s="181" t="str">
        <f>"2" &amp; ".7.2"</f>
        <v>2.7.2</v>
      </c>
      <c r="J160" s="95"/>
    </row>
    <row r="161" spans="6:10">
      <c r="F161" s="93" t="s">
        <v>1461</v>
      </c>
      <c r="G161" s="181" t="str">
        <f>"2" &amp; ".7.3.1"</f>
        <v>2.7.3.1</v>
      </c>
      <c r="J161" s="95"/>
    </row>
    <row r="162" spans="6:10">
      <c r="F162" s="93" t="s">
        <v>1462</v>
      </c>
      <c r="G162" s="181" t="str">
        <f>"2" &amp; ".7.3.2"</f>
        <v>2.7.3.2</v>
      </c>
      <c r="J162" s="95"/>
    </row>
    <row r="163" spans="6:10">
      <c r="F163" s="93" t="s">
        <v>1463</v>
      </c>
      <c r="G163" s="181" t="str">
        <f>"2" &amp; ".8.1"</f>
        <v>2.8.1</v>
      </c>
      <c r="J163" s="95"/>
    </row>
    <row r="164" spans="6:10">
      <c r="F164" s="93" t="s">
        <v>1464</v>
      </c>
      <c r="G164" s="181" t="str">
        <f>"2" &amp; ".8.2"</f>
        <v>2.8.2</v>
      </c>
      <c r="J164" s="95"/>
    </row>
    <row r="165" spans="6:10">
      <c r="F165" s="93" t="s">
        <v>1465</v>
      </c>
      <c r="G165" s="181" t="str">
        <f>"2" &amp; ".9"</f>
        <v>2.9</v>
      </c>
      <c r="J165" s="95"/>
    </row>
    <row r="166" spans="6:10">
      <c r="F166" s="93" t="s">
        <v>1466</v>
      </c>
      <c r="G166" s="181" t="str">
        <f>"2" &amp; ".10.1"</f>
        <v>2.10.1</v>
      </c>
      <c r="J166" s="95"/>
    </row>
    <row r="167" spans="6:10">
      <c r="F167" s="93" t="s">
        <v>1467</v>
      </c>
      <c r="G167" s="181" t="str">
        <f>"2" &amp; ".10.2"</f>
        <v>2.10.2</v>
      </c>
      <c r="J167" s="95"/>
    </row>
    <row r="168" spans="6:10">
      <c r="F168" s="93" t="s">
        <v>1468</v>
      </c>
      <c r="G168" s="219" t="str">
        <f>"1" &amp; ".1.1.1"</f>
        <v>1.1.1.1</v>
      </c>
      <c r="J168" s="95"/>
    </row>
    <row r="169" spans="6:10">
      <c r="F169" s="93" t="s">
        <v>1469</v>
      </c>
      <c r="G169" s="219" t="str">
        <f>"1" &amp; ".1.1.2"</f>
        <v>1.1.1.2</v>
      </c>
      <c r="J169" s="95"/>
    </row>
    <row r="170" spans="6:10">
      <c r="F170" s="93" t="s">
        <v>1470</v>
      </c>
      <c r="G170" s="219" t="str">
        <f>"1" &amp; ".1.2.1"</f>
        <v>1.1.2.1</v>
      </c>
      <c r="J170" s="95"/>
    </row>
    <row r="171" spans="6:10">
      <c r="F171" s="93" t="s">
        <v>1471</v>
      </c>
      <c r="G171" s="219" t="str">
        <f>"1" &amp; ".1.2.2"</f>
        <v>1.1.2.2</v>
      </c>
      <c r="J171" s="95"/>
    </row>
    <row r="172" spans="6:10">
      <c r="F172" s="93" t="s">
        <v>1472</v>
      </c>
      <c r="G172" s="219" t="str">
        <f>"1" &amp; ".1.3.1"</f>
        <v>1.1.3.1</v>
      </c>
      <c r="J172" s="95"/>
    </row>
    <row r="173" spans="6:10">
      <c r="F173" s="93" t="s">
        <v>1473</v>
      </c>
      <c r="G173" s="219" t="str">
        <f>"1" &amp; ".1.3.2"</f>
        <v>1.1.3.2</v>
      </c>
      <c r="J173" s="95"/>
    </row>
    <row r="174" spans="6:10">
      <c r="F174" s="93" t="s">
        <v>1474</v>
      </c>
      <c r="G174" s="219" t="str">
        <f>"1" &amp; ".2.1"</f>
        <v>1.2.1</v>
      </c>
      <c r="J174" s="95"/>
    </row>
    <row r="175" spans="6:10">
      <c r="F175" s="93" t="s">
        <v>1475</v>
      </c>
      <c r="G175" s="219" t="str">
        <f>"1" &amp; ".2.2"</f>
        <v>1.2.2</v>
      </c>
      <c r="J175" s="95"/>
    </row>
    <row r="176" spans="6:10">
      <c r="F176" s="93" t="s">
        <v>1476</v>
      </c>
      <c r="G176" s="219" t="str">
        <f>"1" &amp; ".2.3"</f>
        <v>1.2.3</v>
      </c>
      <c r="J176" s="95"/>
    </row>
    <row r="177" spans="6:10">
      <c r="F177" s="93" t="s">
        <v>1477</v>
      </c>
      <c r="G177" s="219" t="str">
        <f>"1" &amp; ".3.1"</f>
        <v>1.3.1</v>
      </c>
      <c r="J177" s="95"/>
    </row>
    <row r="178" spans="6:10">
      <c r="F178" s="93" t="s">
        <v>1478</v>
      </c>
      <c r="G178" s="219" t="str">
        <f>"1" &amp; ".3.2"</f>
        <v>1.3.2</v>
      </c>
      <c r="J178" s="95"/>
    </row>
    <row r="179" spans="6:10">
      <c r="F179" s="93" t="s">
        <v>1479</v>
      </c>
      <c r="G179" s="181" t="str">
        <f>"1" &amp; ".4.1.1"</f>
        <v>1.4.1.1</v>
      </c>
      <c r="J179" s="95"/>
    </row>
    <row r="180" spans="6:10">
      <c r="F180" s="93" t="s">
        <v>1480</v>
      </c>
      <c r="G180" s="181" t="str">
        <f>"1" &amp; ".4.1.2"</f>
        <v>1.4.1.2</v>
      </c>
      <c r="J180" s="95"/>
    </row>
    <row r="181" spans="6:10">
      <c r="F181" s="93" t="s">
        <v>1481</v>
      </c>
      <c r="G181" s="181" t="str">
        <f>"1" &amp; ".4.2"</f>
        <v>1.4.2</v>
      </c>
      <c r="J181" s="95"/>
    </row>
    <row r="182" spans="6:10">
      <c r="F182" s="93" t="s">
        <v>1482</v>
      </c>
      <c r="G182" s="181" t="str">
        <f>"1" &amp; ".5.1.1"</f>
        <v>1.5.1.1</v>
      </c>
      <c r="J182" s="95"/>
    </row>
    <row r="183" spans="6:10">
      <c r="F183" s="93" t="s">
        <v>1483</v>
      </c>
      <c r="G183" s="181" t="str">
        <f>"1" &amp; ".5.1.2"</f>
        <v>1.5.1.2</v>
      </c>
      <c r="J183" s="95"/>
    </row>
    <row r="184" spans="6:10">
      <c r="F184" s="93" t="s">
        <v>1484</v>
      </c>
      <c r="G184" s="181" t="str">
        <f>"1" &amp; ".5.2"</f>
        <v>1.5.2</v>
      </c>
      <c r="J184" s="95"/>
    </row>
    <row r="185" spans="6:10">
      <c r="F185" s="93" t="s">
        <v>1485</v>
      </c>
      <c r="G185" s="181" t="str">
        <f>"1" &amp; ".5.3.1"</f>
        <v>1.5.3.1</v>
      </c>
      <c r="J185" s="95"/>
    </row>
    <row r="186" spans="6:10">
      <c r="F186" s="93" t="s">
        <v>1486</v>
      </c>
      <c r="G186" s="181" t="str">
        <f>"1" &amp; ".5.3.2"</f>
        <v>1.5.3.2</v>
      </c>
      <c r="J186" s="95"/>
    </row>
    <row r="187" spans="6:10">
      <c r="F187" s="93" t="s">
        <v>1487</v>
      </c>
      <c r="G187" s="181" t="str">
        <f>"1" &amp; ".6.1.1"</f>
        <v>1.6.1.1</v>
      </c>
      <c r="J187" s="95"/>
    </row>
    <row r="188" spans="6:10">
      <c r="F188" s="93" t="s">
        <v>1490</v>
      </c>
      <c r="G188" s="181" t="str">
        <f>"1" &amp; ".6.1.2"</f>
        <v>1.6.1.2</v>
      </c>
      <c r="J188" s="95"/>
    </row>
    <row r="189" spans="6:10">
      <c r="F189" s="93" t="s">
        <v>1489</v>
      </c>
      <c r="G189" s="181" t="str">
        <f>"1" &amp; ".6.2"</f>
        <v>1.6.2</v>
      </c>
      <c r="J189" s="95"/>
    </row>
    <row r="190" spans="6:10">
      <c r="F190" s="93" t="s">
        <v>1488</v>
      </c>
      <c r="G190" s="181" t="str">
        <f>"1" &amp; ".6.3.1"</f>
        <v>1.6.3.1</v>
      </c>
      <c r="J190" s="95"/>
    </row>
    <row r="191" spans="6:10">
      <c r="G191" s="181" t="str">
        <f>"1" &amp; ".6.3.2"</f>
        <v>1.6.3.2</v>
      </c>
      <c r="J191" s="95"/>
    </row>
    <row r="192" spans="6:10">
      <c r="G192" s="181" t="str">
        <f>"1" &amp; ".7.1.1"</f>
        <v>1.7.1.1</v>
      </c>
      <c r="J192" s="95"/>
    </row>
    <row r="193" spans="6:10">
      <c r="G193" s="181" t="str">
        <f>"1" &amp; ".7.1.2"</f>
        <v>1.7.1.2</v>
      </c>
      <c r="J193" s="95"/>
    </row>
    <row r="194" spans="6:10">
      <c r="F194" s="94"/>
      <c r="G194" s="181" t="str">
        <f>"1" &amp; ".7.2"</f>
        <v>1.7.2</v>
      </c>
      <c r="J194" s="95"/>
    </row>
    <row r="195" spans="6:10">
      <c r="F195" s="16"/>
      <c r="G195" s="181" t="str">
        <f>"1" &amp; ".7.3.1"</f>
        <v>1.7.3.1</v>
      </c>
      <c r="J195" s="95"/>
    </row>
    <row r="196" spans="6:10">
      <c r="G196" s="181" t="str">
        <f>"1" &amp; ".7.3.2"</f>
        <v>1.7.3.2</v>
      </c>
      <c r="J196" s="95"/>
    </row>
    <row r="197" spans="6:10">
      <c r="G197" s="181" t="str">
        <f>"1" &amp; ".8.1"</f>
        <v>1.8.1</v>
      </c>
      <c r="J197" s="95"/>
    </row>
    <row r="198" spans="6:10">
      <c r="G198" s="181" t="str">
        <f>"1" &amp; ".8.2"</f>
        <v>1.8.2</v>
      </c>
      <c r="J198" s="95"/>
    </row>
    <row r="199" spans="6:10">
      <c r="G199" s="181" t="str">
        <f>"1" &amp; ".9"</f>
        <v>1.9</v>
      </c>
      <c r="J199" s="95"/>
    </row>
    <row r="200" spans="6:10">
      <c r="G200" s="181" t="str">
        <f>"1" &amp; ".10.1"</f>
        <v>1.10.1</v>
      </c>
      <c r="J200" s="95"/>
    </row>
    <row r="201" spans="6:10">
      <c r="G201" s="181" t="str">
        <f>"1" &amp; ".10.2"</f>
        <v>1.10.2</v>
      </c>
      <c r="J201" s="95"/>
    </row>
    <row r="202" spans="6:10">
      <c r="J202" s="95"/>
    </row>
    <row r="203" spans="6:10">
      <c r="J203" s="95"/>
    </row>
    <row r="204" spans="6:10">
      <c r="J204" s="95"/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FUEL_TOTAL">
    <tabColor rgb="FF00B050"/>
    <outlinePr summaryBelow="0"/>
  </sheetPr>
  <dimension ref="A1:FZ394"/>
  <sheetViews>
    <sheetView showGridLines="0" topLeftCell="F3" zoomScale="90" zoomScaleNormal="90" workbookViewId="0">
      <pane xSplit="25" ySplit="8" topLeftCell="AE11" activePane="bottomRight" state="frozen"/>
      <selection activeCell="F3" sqref="F3"/>
      <selection pane="topRight" activeCell="AE3" sqref="AE3"/>
      <selection pane="bottomLeft" activeCell="F11" sqref="F11"/>
      <selection pane="bottomRight"/>
    </sheetView>
  </sheetViews>
  <sheetFormatPr defaultColWidth="8.7109375" defaultRowHeight="11.25"/>
  <cols>
    <col min="1" max="4" width="5.7109375" style="47" hidden="1" customWidth="1"/>
    <col min="5" max="5" width="2.85546875" style="47" hidden="1" customWidth="1"/>
    <col min="6" max="6" width="2.7109375" style="48" customWidth="1"/>
    <col min="7" max="7" width="4.7109375" style="49" hidden="1" customWidth="1"/>
    <col min="8" max="8" width="3.42578125" style="49" hidden="1" customWidth="1"/>
    <col min="9" max="9" width="6.7109375" style="47" hidden="1" customWidth="1"/>
    <col min="10" max="11" width="9.7109375" style="47" hidden="1" customWidth="1"/>
    <col min="12" max="12" width="3.7109375" style="47" hidden="1" customWidth="1"/>
    <col min="13" max="13" width="11" style="47" hidden="1" customWidth="1"/>
    <col min="14" max="14" width="10" style="47" hidden="1" customWidth="1"/>
    <col min="15" max="15" width="19.7109375" style="47" customWidth="1"/>
    <col min="16" max="16" width="18.7109375" style="47" customWidth="1"/>
    <col min="17" max="19" width="15.7109375" style="47" customWidth="1"/>
    <col min="20" max="26" width="5.5703125" style="47" hidden="1" customWidth="1"/>
    <col min="27" max="27" width="5.5703125" style="49" hidden="1" customWidth="1"/>
    <col min="28" max="29" width="5.5703125" style="47" hidden="1" customWidth="1"/>
    <col min="30" max="30" width="11" style="47" hidden="1" customWidth="1"/>
    <col min="31" max="31" width="12.7109375" style="47" hidden="1" customWidth="1"/>
    <col min="32" max="32" width="12.7109375" style="47" customWidth="1"/>
    <col min="33" max="33" width="12.7109375" style="47" hidden="1" customWidth="1"/>
    <col min="34" max="34" width="12.7109375" style="47" customWidth="1"/>
    <col min="35" max="35" width="12.7109375" style="47" hidden="1" customWidth="1"/>
    <col min="36" max="36" width="12.7109375" style="47" customWidth="1"/>
    <col min="37" max="37" width="14.7109375" style="47" customWidth="1"/>
    <col min="38" max="38" width="0.140625" style="47" customWidth="1"/>
    <col min="39" max="39" width="14.7109375" style="47" customWidth="1"/>
    <col min="40" max="40" width="12.7109375" style="47" hidden="1" customWidth="1"/>
    <col min="41" max="41" width="12.7109375" style="47" customWidth="1"/>
    <col min="42" max="42" width="0.140625" style="47" hidden="1" customWidth="1"/>
    <col min="43" max="43" width="0.140625" style="47" customWidth="1"/>
    <col min="44" max="44" width="18.85546875" style="47" customWidth="1"/>
    <col min="45" max="45" width="12.7109375" style="47" hidden="1" customWidth="1"/>
    <col min="46" max="47" width="12.7109375" style="47" customWidth="1"/>
    <col min="48" max="48" width="12.7109375" style="47" hidden="1" customWidth="1"/>
    <col min="49" max="49" width="12.7109375" style="47" customWidth="1"/>
    <col min="50" max="50" width="12.7109375" style="47" hidden="1" customWidth="1"/>
    <col min="51" max="52" width="12.7109375" style="47" customWidth="1"/>
    <col min="53" max="53" width="12.7109375" style="47" hidden="1" customWidth="1"/>
    <col min="54" max="54" width="12.7109375" style="47" customWidth="1"/>
    <col min="55" max="55" width="12.7109375" style="47" hidden="1" customWidth="1"/>
    <col min="56" max="57" width="12.7109375" style="47" customWidth="1"/>
    <col min="58" max="58" width="12.7109375" style="47" hidden="1" customWidth="1"/>
    <col min="59" max="59" width="12.7109375" style="47" customWidth="1"/>
    <col min="60" max="60" width="12.7109375" style="47" hidden="1" customWidth="1"/>
    <col min="61" max="61" width="12.7109375" style="47" customWidth="1"/>
    <col min="62" max="62" width="19.5703125" style="47" customWidth="1"/>
    <col min="63" max="63" width="12.7109375" style="47" hidden="1" customWidth="1"/>
    <col min="64" max="64" width="12.7109375" style="47" customWidth="1"/>
    <col min="65" max="65" width="12.7109375" style="47" hidden="1" customWidth="1"/>
    <col min="66" max="66" width="12.7109375" style="47" customWidth="1"/>
    <col min="67" max="67" width="12.7109375" style="47" hidden="1" customWidth="1"/>
    <col min="68" max="68" width="12.7109375" style="47" customWidth="1"/>
    <col min="69" max="69" width="12.7109375" style="47" hidden="1" customWidth="1"/>
    <col min="70" max="70" width="12.7109375" style="47" customWidth="1"/>
    <col min="71" max="71" width="14.7109375" style="47" customWidth="1"/>
    <col min="72" max="72" width="0.140625" style="47" customWidth="1"/>
    <col min="73" max="73" width="14.7109375" style="47" customWidth="1"/>
    <col min="74" max="74" width="12.7109375" style="47" hidden="1" customWidth="1"/>
    <col min="75" max="75" width="12.7109375" style="47" customWidth="1"/>
    <col min="76" max="76" width="0.140625" style="47" hidden="1" customWidth="1"/>
    <col min="77" max="77" width="0.140625" style="47" customWidth="1"/>
    <col min="78" max="78" width="18.85546875" style="47" customWidth="1"/>
    <col min="79" max="79" width="12.7109375" style="47" hidden="1" customWidth="1"/>
    <col min="80" max="81" width="12.7109375" style="47" customWidth="1"/>
    <col min="82" max="82" width="12.7109375" style="47" hidden="1" customWidth="1"/>
    <col min="83" max="83" width="12.7109375" style="47" customWidth="1"/>
    <col min="84" max="84" width="12.7109375" style="47" hidden="1" customWidth="1"/>
    <col min="85" max="86" width="12.7109375" style="47" customWidth="1"/>
    <col min="87" max="87" width="12.7109375" style="47" hidden="1" customWidth="1"/>
    <col min="88" max="88" width="12.7109375" style="47" customWidth="1"/>
    <col min="89" max="89" width="12.7109375" style="47" hidden="1" customWidth="1"/>
    <col min="90" max="91" width="12.7109375" style="47" customWidth="1"/>
    <col min="92" max="92" width="12.7109375" style="47" hidden="1" customWidth="1"/>
    <col min="93" max="93" width="12.7109375" style="47" customWidth="1"/>
    <col min="94" max="94" width="12.7109375" style="47" hidden="1" customWidth="1"/>
    <col min="95" max="95" width="12.7109375" style="47" customWidth="1"/>
    <col min="96" max="96" width="19.5703125" style="47" customWidth="1"/>
    <col min="97" max="97" width="12.7109375" style="47" hidden="1" customWidth="1"/>
    <col min="98" max="98" width="12.7109375" style="47" customWidth="1"/>
    <col min="99" max="99" width="12.7109375" style="47" hidden="1" customWidth="1"/>
    <col min="100" max="100" width="12.7109375" style="47" customWidth="1"/>
    <col min="101" max="101" width="12.7109375" style="47" hidden="1" customWidth="1"/>
    <col min="102" max="102" width="12.7109375" style="47" customWidth="1"/>
    <col min="103" max="103" width="12.7109375" style="47" hidden="1" customWidth="1"/>
    <col min="104" max="104" width="12.7109375" style="47" customWidth="1"/>
    <col min="105" max="105" width="14.7109375" style="47" customWidth="1"/>
    <col min="106" max="106" width="0.140625" style="47" customWidth="1"/>
    <col min="107" max="107" width="14.7109375" style="47" customWidth="1"/>
    <col min="108" max="108" width="12.7109375" style="47" hidden="1" customWidth="1"/>
    <col min="109" max="109" width="12.7109375" style="47" customWidth="1"/>
    <col min="110" max="110" width="0.140625" style="47" hidden="1" customWidth="1"/>
    <col min="111" max="111" width="0.140625" style="47" customWidth="1"/>
    <col min="112" max="112" width="18.85546875" style="47" customWidth="1"/>
    <col min="113" max="113" width="12.7109375" style="47" hidden="1" customWidth="1"/>
    <col min="114" max="115" width="12.7109375" style="47" customWidth="1"/>
    <col min="116" max="116" width="12.7109375" style="47" hidden="1" customWidth="1"/>
    <col min="117" max="117" width="12.7109375" style="47" customWidth="1"/>
    <col min="118" max="118" width="12.7109375" style="47" hidden="1" customWidth="1"/>
    <col min="119" max="120" width="12.7109375" style="47" customWidth="1"/>
    <col min="121" max="121" width="12.7109375" style="47" hidden="1" customWidth="1"/>
    <col min="122" max="122" width="12.7109375" style="47" customWidth="1"/>
    <col min="123" max="123" width="12.7109375" style="47" hidden="1" customWidth="1"/>
    <col min="124" max="125" width="12.7109375" style="47" customWidth="1"/>
    <col min="126" max="126" width="12.7109375" style="47" hidden="1" customWidth="1"/>
    <col min="127" max="127" width="12.7109375" style="47" customWidth="1"/>
    <col min="128" max="128" width="12.7109375" style="47" hidden="1" customWidth="1"/>
    <col min="129" max="129" width="12.7109375" style="47" customWidth="1"/>
    <col min="130" max="130" width="19.5703125" style="47" customWidth="1"/>
    <col min="131" max="131" width="12.7109375" style="47" hidden="1" customWidth="1"/>
    <col min="132" max="132" width="12.7109375" style="47" customWidth="1"/>
    <col min="133" max="133" width="12.7109375" style="47" hidden="1" customWidth="1"/>
    <col min="134" max="134" width="12.7109375" style="47" customWidth="1"/>
    <col min="135" max="135" width="12.7109375" style="47" hidden="1" customWidth="1"/>
    <col min="136" max="136" width="12.7109375" style="47" customWidth="1"/>
    <col min="137" max="137" width="12.7109375" style="47" hidden="1" customWidth="1"/>
    <col min="138" max="138" width="12.7109375" style="47" customWidth="1"/>
    <col min="139" max="139" width="14.7109375" style="47" customWidth="1"/>
    <col min="140" max="140" width="0.140625" style="47" customWidth="1"/>
    <col min="141" max="141" width="14.7109375" style="47" customWidth="1"/>
    <col min="142" max="142" width="12.7109375" style="47" hidden="1" customWidth="1"/>
    <col min="143" max="143" width="12.7109375" style="47" customWidth="1"/>
    <col min="144" max="144" width="0.140625" style="47" hidden="1" customWidth="1"/>
    <col min="145" max="145" width="0.140625" style="47" customWidth="1"/>
    <col min="146" max="146" width="18.85546875" style="47" customWidth="1"/>
    <col min="147" max="147" width="12.7109375" style="47" hidden="1" customWidth="1"/>
    <col min="148" max="149" width="12.7109375" style="47" customWidth="1"/>
    <col min="150" max="150" width="12.7109375" style="47" hidden="1" customWidth="1"/>
    <col min="151" max="151" width="12.7109375" style="47" customWidth="1"/>
    <col min="152" max="152" width="12.7109375" style="47" hidden="1" customWidth="1"/>
    <col min="153" max="154" width="12.7109375" style="47" customWidth="1"/>
    <col min="155" max="155" width="12.7109375" style="47" hidden="1" customWidth="1"/>
    <col min="156" max="156" width="12.7109375" style="47" customWidth="1"/>
    <col min="157" max="157" width="12.7109375" style="47" hidden="1" customWidth="1"/>
    <col min="158" max="159" width="12.7109375" style="47" customWidth="1"/>
    <col min="160" max="160" width="12.7109375" style="47" hidden="1" customWidth="1"/>
    <col min="161" max="161" width="12.7109375" style="47" customWidth="1"/>
    <col min="162" max="162" width="12.7109375" style="47" hidden="1" customWidth="1"/>
    <col min="163" max="163" width="12.7109375" style="47" customWidth="1"/>
    <col min="164" max="164" width="19.5703125" style="47" customWidth="1"/>
    <col min="165" max="165" width="12.7109375" style="47" hidden="1" customWidth="1"/>
    <col min="166" max="166" width="12.7109375" style="47" customWidth="1"/>
    <col min="167" max="170" width="0.140625" style="47" customWidth="1"/>
    <col min="171" max="174" width="35.7109375" style="47" customWidth="1"/>
    <col min="175" max="175" width="4.7109375" style="47" customWidth="1"/>
    <col min="176" max="177" width="23.7109375" style="47" customWidth="1"/>
    <col min="178" max="180" width="25.7109375" style="47" customWidth="1"/>
    <col min="181" max="181" width="7.7109375" style="47" customWidth="1"/>
    <col min="182" max="183" width="2.7109375" style="47" customWidth="1"/>
    <col min="184" max="16384" width="8.7109375" style="47"/>
  </cols>
  <sheetData>
    <row r="1" spans="5:182" ht="12" hidden="1" customHeight="1"/>
    <row r="2" spans="5:182" ht="12" hidden="1" customHeight="1"/>
    <row r="3" spans="5:182" ht="12" customHeight="1">
      <c r="F3" s="68"/>
      <c r="G3" s="73"/>
      <c r="H3" s="73"/>
      <c r="I3" s="144"/>
      <c r="J3" s="68"/>
      <c r="K3" s="68"/>
      <c r="L3" s="68"/>
      <c r="M3" s="68"/>
      <c r="N3" s="68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64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</row>
    <row r="4" spans="5:182" s="244" customFormat="1" ht="27" customHeight="1">
      <c r="F4" s="245"/>
      <c r="G4" s="246"/>
      <c r="H4" s="246"/>
      <c r="J4" s="247"/>
      <c r="K4" s="247"/>
      <c r="L4" s="247"/>
      <c r="M4" s="247"/>
      <c r="N4" s="247"/>
      <c r="O4" s="469" t="str">
        <f>"Информация о фактически сложившихся ценах и объёмах потребления топлива по итогам " &amp; CURRENT_PRD &amp; " " &amp; god &amp; " года"</f>
        <v>Информация о фактически сложившихся ценах и объёмах потребления топлива по итогам 12 месяцев 2014 года</v>
      </c>
      <c r="P4" s="470"/>
      <c r="Q4" s="470"/>
      <c r="R4" s="470"/>
      <c r="S4" s="471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79" t="s">
        <v>1724</v>
      </c>
      <c r="AF4" s="278"/>
      <c r="AG4" s="278"/>
      <c r="AH4" s="278"/>
      <c r="AI4" s="278"/>
      <c r="AJ4" s="278"/>
      <c r="AK4" s="278"/>
      <c r="AL4" s="278"/>
      <c r="AM4" s="278"/>
      <c r="AN4" s="278"/>
      <c r="AO4" s="278"/>
      <c r="AP4" s="278"/>
      <c r="AQ4" s="278"/>
      <c r="AR4" s="278"/>
      <c r="AS4" s="278"/>
      <c r="AT4" s="278"/>
      <c r="AU4" s="278"/>
      <c r="AV4" s="278"/>
      <c r="AW4" s="278"/>
      <c r="AX4" s="278"/>
      <c r="AY4" s="278"/>
      <c r="AZ4" s="278"/>
      <c r="BA4" s="278"/>
      <c r="BB4" s="278"/>
      <c r="BC4" s="278"/>
      <c r="BD4" s="278"/>
      <c r="BE4" s="278"/>
      <c r="BF4" s="278"/>
      <c r="BG4" s="278"/>
      <c r="BH4" s="278"/>
      <c r="BI4" s="278"/>
      <c r="BJ4" s="278"/>
      <c r="BK4" s="278"/>
      <c r="BL4" s="278"/>
      <c r="BM4" s="279" t="s">
        <v>1724</v>
      </c>
      <c r="BN4" s="278"/>
      <c r="BO4" s="278"/>
      <c r="BP4" s="278"/>
      <c r="BQ4" s="278"/>
      <c r="BR4" s="278"/>
      <c r="BS4" s="278"/>
      <c r="BT4" s="278"/>
      <c r="BU4" s="278"/>
      <c r="BV4" s="278"/>
      <c r="BW4" s="278"/>
      <c r="BX4" s="278"/>
      <c r="BY4" s="278"/>
      <c r="BZ4" s="278"/>
      <c r="CA4" s="278"/>
      <c r="CB4" s="278"/>
      <c r="CC4" s="278"/>
      <c r="CD4" s="278"/>
      <c r="CE4" s="278"/>
      <c r="CF4" s="278"/>
      <c r="CG4" s="278"/>
      <c r="CH4" s="278"/>
      <c r="CI4" s="278"/>
      <c r="CJ4" s="278"/>
      <c r="CK4" s="278"/>
      <c r="CL4" s="278"/>
      <c r="CM4" s="278"/>
      <c r="CN4" s="278"/>
      <c r="CO4" s="278"/>
      <c r="CP4" s="278"/>
      <c r="CQ4" s="278"/>
      <c r="CR4" s="278"/>
      <c r="CS4" s="278"/>
      <c r="CT4" s="278"/>
      <c r="CU4" s="279" t="s">
        <v>1724</v>
      </c>
      <c r="CV4" s="278"/>
      <c r="CW4" s="278"/>
      <c r="CX4" s="278"/>
      <c r="CY4" s="278"/>
      <c r="CZ4" s="278"/>
      <c r="DA4" s="278"/>
      <c r="DB4" s="278"/>
      <c r="DC4" s="278"/>
      <c r="DD4" s="278"/>
      <c r="DE4" s="278"/>
      <c r="DF4" s="278"/>
      <c r="DG4" s="278"/>
      <c r="DH4" s="278"/>
      <c r="DI4" s="278"/>
      <c r="DJ4" s="278"/>
      <c r="DK4" s="278"/>
      <c r="DL4" s="278"/>
      <c r="DM4" s="278"/>
      <c r="DN4" s="278"/>
      <c r="DO4" s="278"/>
      <c r="DP4" s="278"/>
      <c r="DQ4" s="278"/>
      <c r="DR4" s="278"/>
      <c r="DS4" s="278"/>
      <c r="DT4" s="278"/>
      <c r="DU4" s="278"/>
      <c r="DV4" s="278"/>
      <c r="DW4" s="278"/>
      <c r="DX4" s="278"/>
      <c r="DY4" s="278"/>
      <c r="DZ4" s="278"/>
      <c r="EA4" s="278"/>
      <c r="EB4" s="278"/>
      <c r="EC4" s="279" t="s">
        <v>1724</v>
      </c>
      <c r="ED4" s="278"/>
      <c r="EE4" s="278"/>
      <c r="EF4" s="278"/>
      <c r="EG4" s="278"/>
      <c r="EH4" s="278"/>
      <c r="EI4" s="278"/>
      <c r="EJ4" s="278"/>
      <c r="EK4" s="278"/>
      <c r="EL4" s="278"/>
      <c r="EM4" s="278"/>
      <c r="EN4" s="278"/>
      <c r="EO4" s="278"/>
      <c r="EP4" s="278"/>
      <c r="EQ4" s="278"/>
      <c r="ER4" s="278"/>
      <c r="ES4" s="278"/>
      <c r="ET4" s="278"/>
      <c r="EU4" s="278"/>
      <c r="EV4" s="278"/>
      <c r="EW4" s="278"/>
      <c r="EX4" s="278"/>
      <c r="EY4" s="278"/>
      <c r="EZ4" s="278"/>
      <c r="FA4" s="278"/>
      <c r="FB4" s="278"/>
      <c r="FC4" s="278"/>
      <c r="FD4" s="278"/>
      <c r="FE4" s="278"/>
      <c r="FF4" s="278"/>
      <c r="FG4" s="278"/>
      <c r="FH4" s="278"/>
      <c r="FI4" s="278"/>
      <c r="FJ4" s="278"/>
      <c r="FK4" s="287"/>
      <c r="FL4" s="287"/>
      <c r="FM4" s="287"/>
      <c r="FN4" s="287"/>
      <c r="FO4" s="287"/>
      <c r="FP4" s="287"/>
      <c r="FQ4" s="287"/>
      <c r="FR4" s="287"/>
      <c r="FS4" s="247"/>
      <c r="FT4" s="247"/>
      <c r="FU4" s="247"/>
      <c r="FV4" s="247"/>
      <c r="FW4" s="247"/>
      <c r="FX4" s="247"/>
      <c r="FY4" s="249"/>
      <c r="FZ4" s="250"/>
    </row>
    <row r="5" spans="5:182" s="244" customFormat="1" ht="15" customHeight="1">
      <c r="F5" s="250"/>
      <c r="G5" s="250"/>
      <c r="H5" s="245"/>
      <c r="J5" s="251"/>
      <c r="K5" s="251"/>
      <c r="L5" s="251"/>
      <c r="M5" s="251"/>
      <c r="N5" s="251"/>
      <c r="O5" s="472" t="str">
        <f>"Субъект Российской Федерации: " &amp; region_name</f>
        <v>Субъект Российской Федерации: Ставропольский край</v>
      </c>
      <c r="P5" s="472"/>
      <c r="Q5" s="472"/>
      <c r="R5" s="472"/>
      <c r="S5" s="472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79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79"/>
      <c r="AQ5" s="280"/>
      <c r="AR5" s="280"/>
      <c r="AS5" s="279" t="s">
        <v>1724</v>
      </c>
      <c r="AT5" s="280"/>
      <c r="AU5" s="280"/>
      <c r="AV5" s="280"/>
      <c r="AW5" s="280"/>
      <c r="AX5" s="280"/>
      <c r="AY5" s="280"/>
      <c r="AZ5" s="280"/>
      <c r="BA5" s="280"/>
      <c r="BB5" s="280"/>
      <c r="BC5" s="280"/>
      <c r="BD5" s="280"/>
      <c r="BE5" s="280"/>
      <c r="BF5" s="280"/>
      <c r="BG5" s="280"/>
      <c r="BH5" s="279" t="s">
        <v>1724</v>
      </c>
      <c r="BI5" s="278"/>
      <c r="BJ5" s="278"/>
      <c r="BK5" s="278"/>
      <c r="BL5" s="278"/>
      <c r="BM5" s="279"/>
      <c r="BN5" s="280"/>
      <c r="BO5" s="280"/>
      <c r="BP5" s="280"/>
      <c r="BQ5" s="280"/>
      <c r="BR5" s="280"/>
      <c r="BS5" s="280"/>
      <c r="BT5" s="280"/>
      <c r="BU5" s="280"/>
      <c r="BV5" s="280"/>
      <c r="BW5" s="280"/>
      <c r="BX5" s="279"/>
      <c r="BY5" s="280"/>
      <c r="BZ5" s="280"/>
      <c r="CA5" s="279" t="s">
        <v>1724</v>
      </c>
      <c r="CB5" s="280"/>
      <c r="CC5" s="280"/>
      <c r="CD5" s="280"/>
      <c r="CE5" s="280"/>
      <c r="CF5" s="280"/>
      <c r="CG5" s="280"/>
      <c r="CH5" s="280"/>
      <c r="CI5" s="280"/>
      <c r="CJ5" s="280"/>
      <c r="CK5" s="280"/>
      <c r="CL5" s="280"/>
      <c r="CM5" s="280"/>
      <c r="CN5" s="280"/>
      <c r="CO5" s="280"/>
      <c r="CP5" s="279" t="s">
        <v>1724</v>
      </c>
      <c r="CQ5" s="278"/>
      <c r="CR5" s="278"/>
      <c r="CS5" s="278"/>
      <c r="CT5" s="278"/>
      <c r="CU5" s="279"/>
      <c r="CV5" s="280"/>
      <c r="CW5" s="280"/>
      <c r="CX5" s="280"/>
      <c r="CY5" s="280"/>
      <c r="CZ5" s="280"/>
      <c r="DA5" s="280"/>
      <c r="DB5" s="280"/>
      <c r="DC5" s="280"/>
      <c r="DD5" s="280"/>
      <c r="DE5" s="280"/>
      <c r="DF5" s="279"/>
      <c r="DG5" s="280"/>
      <c r="DH5" s="280"/>
      <c r="DI5" s="279" t="s">
        <v>1724</v>
      </c>
      <c r="DJ5" s="280"/>
      <c r="DK5" s="280"/>
      <c r="DL5" s="280"/>
      <c r="DM5" s="280"/>
      <c r="DN5" s="280"/>
      <c r="DO5" s="280"/>
      <c r="DP5" s="280"/>
      <c r="DQ5" s="280"/>
      <c r="DR5" s="280"/>
      <c r="DS5" s="280"/>
      <c r="DT5" s="280"/>
      <c r="DU5" s="280"/>
      <c r="DV5" s="280"/>
      <c r="DW5" s="280"/>
      <c r="DX5" s="279" t="s">
        <v>1724</v>
      </c>
      <c r="DY5" s="278"/>
      <c r="DZ5" s="278"/>
      <c r="EA5" s="278"/>
      <c r="EB5" s="278"/>
      <c r="EC5" s="279"/>
      <c r="ED5" s="280"/>
      <c r="EE5" s="280"/>
      <c r="EF5" s="280"/>
      <c r="EG5" s="280"/>
      <c r="EH5" s="280"/>
      <c r="EI5" s="280"/>
      <c r="EJ5" s="280"/>
      <c r="EK5" s="280"/>
      <c r="EL5" s="280"/>
      <c r="EM5" s="280"/>
      <c r="EN5" s="279"/>
      <c r="EO5" s="280"/>
      <c r="EP5" s="280"/>
      <c r="EQ5" s="279" t="s">
        <v>1724</v>
      </c>
      <c r="ER5" s="280"/>
      <c r="ES5" s="280"/>
      <c r="ET5" s="280"/>
      <c r="EU5" s="280"/>
      <c r="EV5" s="280"/>
      <c r="EW5" s="280"/>
      <c r="EX5" s="280"/>
      <c r="EY5" s="280"/>
      <c r="EZ5" s="280"/>
      <c r="FA5" s="280"/>
      <c r="FB5" s="280"/>
      <c r="FC5" s="280"/>
      <c r="FD5" s="280"/>
      <c r="FE5" s="280"/>
      <c r="FF5" s="279" t="s">
        <v>1724</v>
      </c>
      <c r="FG5" s="278"/>
      <c r="FH5" s="278"/>
      <c r="FI5" s="278"/>
      <c r="FJ5" s="278"/>
      <c r="FK5" s="280"/>
      <c r="FL5" s="280"/>
      <c r="FM5" s="280"/>
      <c r="FN5" s="280"/>
      <c r="FO5" s="280"/>
      <c r="FP5" s="280"/>
      <c r="FQ5" s="280"/>
      <c r="FR5" s="280"/>
      <c r="FS5" s="251"/>
      <c r="FT5" s="251"/>
      <c r="FU5" s="251"/>
      <c r="FV5" s="251"/>
      <c r="FW5" s="251"/>
      <c r="FX5" s="251"/>
      <c r="FY5" s="253"/>
      <c r="FZ5" s="250"/>
    </row>
    <row r="6" spans="5:182" ht="18" customHeight="1">
      <c r="F6" s="56"/>
      <c r="G6" s="56"/>
      <c r="H6" s="68"/>
      <c r="I6" s="56"/>
      <c r="J6" s="56"/>
      <c r="K6" s="56"/>
      <c r="L6" s="56"/>
      <c r="M6" s="56"/>
      <c r="N6" s="56"/>
      <c r="O6" s="459" t="s">
        <v>1605</v>
      </c>
      <c r="P6" s="459" t="s">
        <v>1668</v>
      </c>
      <c r="Q6" s="473" t="str">
        <f>"Данные из отчёта по теплоснабжению (SUMMARY.BALANCE.CALC.TARIFF.WARM.2014.PLAN) план " &amp; IF(god="","Не определено",god) &amp; " (данные по региону в целом)"</f>
        <v>Данные из отчёта по теплоснабжению (SUMMARY.BALANCE.CALC.TARIFF.WARM.2014.PLAN) план 2014 (данные по региону в целом)</v>
      </c>
      <c r="R6" s="473"/>
      <c r="S6" s="473"/>
      <c r="T6" s="324"/>
      <c r="U6" s="324"/>
      <c r="V6" s="324"/>
      <c r="W6" s="324"/>
      <c r="X6" s="324"/>
      <c r="Y6" s="324"/>
      <c r="Z6" s="324"/>
      <c r="AA6" s="325"/>
      <c r="AB6" s="326"/>
      <c r="AC6" s="326"/>
      <c r="AD6" s="460"/>
      <c r="AE6" s="433" t="str">
        <f>"Фактические величины показателей по итогам 12 месяцев " &amp; IF(god="","Не определено",god) &amp; " года"</f>
        <v>Фактические величины показателей по итогам 12 месяцев 2014 года</v>
      </c>
      <c r="AF6" s="433"/>
      <c r="AG6" s="433"/>
      <c r="AH6" s="433"/>
      <c r="AI6" s="433"/>
      <c r="AJ6" s="433"/>
      <c r="AK6" s="433"/>
      <c r="AL6" s="433"/>
      <c r="AM6" s="433"/>
      <c r="AN6" s="433"/>
      <c r="AO6" s="433"/>
      <c r="AP6" s="433"/>
      <c r="AQ6" s="433"/>
      <c r="AR6" s="433"/>
      <c r="AS6" s="433"/>
      <c r="AT6" s="433"/>
      <c r="AU6" s="433"/>
      <c r="AV6" s="433"/>
      <c r="AW6" s="433"/>
      <c r="AX6" s="433"/>
      <c r="AY6" s="433"/>
      <c r="AZ6" s="433"/>
      <c r="BA6" s="433"/>
      <c r="BB6" s="433"/>
      <c r="BC6" s="433"/>
      <c r="BD6" s="433"/>
      <c r="BE6" s="433"/>
      <c r="BF6" s="433"/>
      <c r="BG6" s="433"/>
      <c r="BH6" s="433"/>
      <c r="BI6" s="433"/>
      <c r="BJ6" s="433"/>
      <c r="BK6" s="433"/>
      <c r="BL6" s="433"/>
      <c r="BM6" s="433" t="str">
        <f>"Фактические величины показателей по итогам 9 месяцев " &amp; IF(god="","Не определено",god) &amp; " года"</f>
        <v>Фактические величины показателей по итогам 9 месяцев 2014 года</v>
      </c>
      <c r="BN6" s="433"/>
      <c r="BO6" s="433"/>
      <c r="BP6" s="433"/>
      <c r="BQ6" s="433"/>
      <c r="BR6" s="433"/>
      <c r="BS6" s="433"/>
      <c r="BT6" s="433"/>
      <c r="BU6" s="433"/>
      <c r="BV6" s="433"/>
      <c r="BW6" s="433"/>
      <c r="BX6" s="433"/>
      <c r="BY6" s="433"/>
      <c r="BZ6" s="433"/>
      <c r="CA6" s="433"/>
      <c r="CB6" s="433"/>
      <c r="CC6" s="433"/>
      <c r="CD6" s="433"/>
      <c r="CE6" s="433"/>
      <c r="CF6" s="433"/>
      <c r="CG6" s="433"/>
      <c r="CH6" s="433"/>
      <c r="CI6" s="433"/>
      <c r="CJ6" s="433"/>
      <c r="CK6" s="433"/>
      <c r="CL6" s="433"/>
      <c r="CM6" s="433"/>
      <c r="CN6" s="433"/>
      <c r="CO6" s="433"/>
      <c r="CP6" s="433"/>
      <c r="CQ6" s="433"/>
      <c r="CR6" s="433"/>
      <c r="CS6" s="433"/>
      <c r="CT6" s="433"/>
      <c r="CU6" s="436" t="str">
        <f>"Фактические величины показателей по итогам I полугодия " &amp; IF(god="","Не определено",god) &amp; " года"</f>
        <v>Фактические величины показателей по итогам I полугодия 2014 года</v>
      </c>
      <c r="CV6" s="437"/>
      <c r="CW6" s="437"/>
      <c r="CX6" s="437"/>
      <c r="CY6" s="437"/>
      <c r="CZ6" s="437"/>
      <c r="DA6" s="437"/>
      <c r="DB6" s="437"/>
      <c r="DC6" s="437"/>
      <c r="DD6" s="437"/>
      <c r="DE6" s="437"/>
      <c r="DF6" s="437"/>
      <c r="DG6" s="437"/>
      <c r="DH6" s="437"/>
      <c r="DI6" s="437"/>
      <c r="DJ6" s="437"/>
      <c r="DK6" s="437"/>
      <c r="DL6" s="437"/>
      <c r="DM6" s="437"/>
      <c r="DN6" s="437"/>
      <c r="DO6" s="437"/>
      <c r="DP6" s="437"/>
      <c r="DQ6" s="437"/>
      <c r="DR6" s="437"/>
      <c r="DS6" s="437"/>
      <c r="DT6" s="437"/>
      <c r="DU6" s="437"/>
      <c r="DV6" s="437"/>
      <c r="DW6" s="437"/>
      <c r="DX6" s="437"/>
      <c r="DY6" s="437"/>
      <c r="DZ6" s="437"/>
      <c r="EA6" s="437"/>
      <c r="EB6" s="437"/>
      <c r="EC6" s="436" t="str">
        <f>"Фактические величины показателей по итогам I квартала " &amp; IF(god="","Не определено",god) &amp; " года"</f>
        <v>Фактические величины показателей по итогам I квартала 2014 года</v>
      </c>
      <c r="ED6" s="437"/>
      <c r="EE6" s="437"/>
      <c r="EF6" s="437"/>
      <c r="EG6" s="437"/>
      <c r="EH6" s="437"/>
      <c r="EI6" s="437"/>
      <c r="EJ6" s="437"/>
      <c r="EK6" s="437"/>
      <c r="EL6" s="437"/>
      <c r="EM6" s="437"/>
      <c r="EN6" s="437"/>
      <c r="EO6" s="437"/>
      <c r="EP6" s="437"/>
      <c r="EQ6" s="437"/>
      <c r="ER6" s="437"/>
      <c r="ES6" s="437"/>
      <c r="ET6" s="437"/>
      <c r="EU6" s="437"/>
      <c r="EV6" s="437"/>
      <c r="EW6" s="437"/>
      <c r="EX6" s="437"/>
      <c r="EY6" s="437"/>
      <c r="EZ6" s="437"/>
      <c r="FA6" s="437"/>
      <c r="FB6" s="437"/>
      <c r="FC6" s="437"/>
      <c r="FD6" s="437"/>
      <c r="FE6" s="437"/>
      <c r="FF6" s="437"/>
      <c r="FG6" s="437"/>
      <c r="FH6" s="437"/>
      <c r="FI6" s="437"/>
      <c r="FJ6" s="437"/>
      <c r="FK6" s="326"/>
      <c r="FL6" s="326"/>
      <c r="FM6" s="326"/>
      <c r="FN6" s="327"/>
      <c r="FO6" s="456" t="s">
        <v>1731</v>
      </c>
      <c r="FP6" s="456" t="s">
        <v>1732</v>
      </c>
      <c r="FQ6" s="434" t="s">
        <v>1733</v>
      </c>
      <c r="FR6" s="434" t="s">
        <v>1646</v>
      </c>
      <c r="FS6" s="56"/>
      <c r="FT6" s="450" t="s">
        <v>1605</v>
      </c>
      <c r="FU6" s="450" t="s">
        <v>1668</v>
      </c>
      <c r="FV6" s="451" t="str">
        <f>"Данные из отчёта по теплоснабжению (SUMMARY.BALANCE.CALC.TARIFF.WARM.2014.PLAN) план " &amp; IF(god="","Не определено",god) &amp; " (данные по региону в целом)"</f>
        <v>Данные из отчёта по теплоснабжению (SUMMARY.BALANCE.CALC.TARIFF.WARM.2014.PLAN) план 2014 (данные по региону в целом)</v>
      </c>
      <c r="FW6" s="451"/>
      <c r="FX6" s="451"/>
      <c r="FY6" s="74"/>
      <c r="FZ6" s="56"/>
    </row>
    <row r="7" spans="5:182" ht="18" customHeight="1">
      <c r="F7" s="56"/>
      <c r="G7" s="56"/>
      <c r="H7" s="68"/>
      <c r="I7" s="56"/>
      <c r="J7" s="56"/>
      <c r="K7" s="56"/>
      <c r="L7" s="56"/>
      <c r="M7" s="56"/>
      <c r="N7" s="56"/>
      <c r="O7" s="459"/>
      <c r="P7" s="459"/>
      <c r="Q7" s="473"/>
      <c r="R7" s="473"/>
      <c r="S7" s="473"/>
      <c r="T7" s="324"/>
      <c r="U7" s="324"/>
      <c r="V7" s="324"/>
      <c r="W7" s="324"/>
      <c r="X7" s="324"/>
      <c r="Y7" s="324"/>
      <c r="Z7" s="324"/>
      <c r="AA7" s="325"/>
      <c r="AB7" s="326"/>
      <c r="AC7" s="326"/>
      <c r="AD7" s="460"/>
      <c r="AE7" s="433" t="s">
        <v>15</v>
      </c>
      <c r="AF7" s="433"/>
      <c r="AG7" s="433" t="s">
        <v>16</v>
      </c>
      <c r="AH7" s="433"/>
      <c r="AI7" s="433" t="s">
        <v>17</v>
      </c>
      <c r="AJ7" s="433"/>
      <c r="AK7" s="433" t="s">
        <v>1387</v>
      </c>
      <c r="AL7" s="433" t="s">
        <v>1389</v>
      </c>
      <c r="AM7" s="433" t="s">
        <v>1388</v>
      </c>
      <c r="AN7" s="435" t="s">
        <v>1689</v>
      </c>
      <c r="AO7" s="435"/>
      <c r="AP7" s="438" t="s">
        <v>1707</v>
      </c>
      <c r="AQ7" s="433"/>
      <c r="AR7" s="433"/>
      <c r="AS7" s="436" t="s">
        <v>1662</v>
      </c>
      <c r="AT7" s="437"/>
      <c r="AU7" s="437"/>
      <c r="AV7" s="437"/>
      <c r="AW7" s="437"/>
      <c r="AX7" s="437"/>
      <c r="AY7" s="437"/>
      <c r="AZ7" s="437"/>
      <c r="BA7" s="437"/>
      <c r="BB7" s="437"/>
      <c r="BC7" s="437"/>
      <c r="BD7" s="437"/>
      <c r="BE7" s="437"/>
      <c r="BF7" s="437"/>
      <c r="BG7" s="438"/>
      <c r="BH7" s="433" t="s">
        <v>1621</v>
      </c>
      <c r="BI7" s="433"/>
      <c r="BJ7" s="433"/>
      <c r="BK7" s="433"/>
      <c r="BL7" s="433"/>
      <c r="BM7" s="433" t="s">
        <v>15</v>
      </c>
      <c r="BN7" s="433"/>
      <c r="BO7" s="433" t="s">
        <v>16</v>
      </c>
      <c r="BP7" s="433"/>
      <c r="BQ7" s="433" t="s">
        <v>17</v>
      </c>
      <c r="BR7" s="433"/>
      <c r="BS7" s="433" t="s">
        <v>1387</v>
      </c>
      <c r="BT7" s="433" t="s">
        <v>1389</v>
      </c>
      <c r="BU7" s="433" t="s">
        <v>1388</v>
      </c>
      <c r="BV7" s="435" t="s">
        <v>1689</v>
      </c>
      <c r="BW7" s="435"/>
      <c r="BX7" s="438" t="s">
        <v>1707</v>
      </c>
      <c r="BY7" s="433"/>
      <c r="BZ7" s="433"/>
      <c r="CA7" s="436" t="s">
        <v>1662</v>
      </c>
      <c r="CB7" s="437"/>
      <c r="CC7" s="437"/>
      <c r="CD7" s="437"/>
      <c r="CE7" s="437"/>
      <c r="CF7" s="437"/>
      <c r="CG7" s="437"/>
      <c r="CH7" s="437"/>
      <c r="CI7" s="437"/>
      <c r="CJ7" s="437"/>
      <c r="CK7" s="437"/>
      <c r="CL7" s="437"/>
      <c r="CM7" s="437"/>
      <c r="CN7" s="437"/>
      <c r="CO7" s="438"/>
      <c r="CP7" s="433" t="s">
        <v>1621</v>
      </c>
      <c r="CQ7" s="433"/>
      <c r="CR7" s="433"/>
      <c r="CS7" s="433"/>
      <c r="CT7" s="433"/>
      <c r="CU7" s="433" t="s">
        <v>15</v>
      </c>
      <c r="CV7" s="433"/>
      <c r="CW7" s="433" t="s">
        <v>16</v>
      </c>
      <c r="CX7" s="433"/>
      <c r="CY7" s="433" t="s">
        <v>17</v>
      </c>
      <c r="CZ7" s="433"/>
      <c r="DA7" s="433" t="s">
        <v>1387</v>
      </c>
      <c r="DB7" s="433" t="s">
        <v>1389</v>
      </c>
      <c r="DC7" s="433" t="s">
        <v>1388</v>
      </c>
      <c r="DD7" s="435" t="s">
        <v>1689</v>
      </c>
      <c r="DE7" s="435"/>
      <c r="DF7" s="438" t="s">
        <v>1707</v>
      </c>
      <c r="DG7" s="433"/>
      <c r="DH7" s="433"/>
      <c r="DI7" s="436" t="s">
        <v>1662</v>
      </c>
      <c r="DJ7" s="437"/>
      <c r="DK7" s="437"/>
      <c r="DL7" s="437"/>
      <c r="DM7" s="437"/>
      <c r="DN7" s="437"/>
      <c r="DO7" s="437"/>
      <c r="DP7" s="437"/>
      <c r="DQ7" s="437"/>
      <c r="DR7" s="437"/>
      <c r="DS7" s="437"/>
      <c r="DT7" s="437"/>
      <c r="DU7" s="437"/>
      <c r="DV7" s="437"/>
      <c r="DW7" s="438"/>
      <c r="DX7" s="433" t="s">
        <v>1621</v>
      </c>
      <c r="DY7" s="433"/>
      <c r="DZ7" s="433"/>
      <c r="EA7" s="433"/>
      <c r="EB7" s="433"/>
      <c r="EC7" s="433" t="s">
        <v>15</v>
      </c>
      <c r="ED7" s="433"/>
      <c r="EE7" s="433" t="s">
        <v>16</v>
      </c>
      <c r="EF7" s="433"/>
      <c r="EG7" s="433" t="s">
        <v>17</v>
      </c>
      <c r="EH7" s="433"/>
      <c r="EI7" s="433" t="s">
        <v>1387</v>
      </c>
      <c r="EJ7" s="433" t="s">
        <v>1389</v>
      </c>
      <c r="EK7" s="433" t="s">
        <v>1388</v>
      </c>
      <c r="EL7" s="435" t="s">
        <v>1689</v>
      </c>
      <c r="EM7" s="435"/>
      <c r="EN7" s="438" t="s">
        <v>1707</v>
      </c>
      <c r="EO7" s="433"/>
      <c r="EP7" s="433"/>
      <c r="EQ7" s="436" t="s">
        <v>1662</v>
      </c>
      <c r="ER7" s="437"/>
      <c r="ES7" s="437"/>
      <c r="ET7" s="437"/>
      <c r="EU7" s="437"/>
      <c r="EV7" s="437"/>
      <c r="EW7" s="437"/>
      <c r="EX7" s="437"/>
      <c r="EY7" s="437"/>
      <c r="EZ7" s="437"/>
      <c r="FA7" s="437"/>
      <c r="FB7" s="437"/>
      <c r="FC7" s="437"/>
      <c r="FD7" s="437"/>
      <c r="FE7" s="438"/>
      <c r="FF7" s="433" t="s">
        <v>1621</v>
      </c>
      <c r="FG7" s="433"/>
      <c r="FH7" s="433"/>
      <c r="FI7" s="433"/>
      <c r="FJ7" s="433"/>
      <c r="FK7" s="326"/>
      <c r="FL7" s="326"/>
      <c r="FM7" s="326"/>
      <c r="FN7" s="327"/>
      <c r="FO7" s="457"/>
      <c r="FP7" s="457"/>
      <c r="FQ7" s="434"/>
      <c r="FR7" s="434"/>
      <c r="FS7" s="56"/>
      <c r="FT7" s="450"/>
      <c r="FU7" s="450"/>
      <c r="FV7" s="451"/>
      <c r="FW7" s="451"/>
      <c r="FX7" s="451"/>
      <c r="FY7" s="74"/>
      <c r="FZ7" s="56"/>
    </row>
    <row r="8" spans="5:182" ht="15" customHeight="1">
      <c r="E8" s="56"/>
      <c r="F8" s="68"/>
      <c r="G8" s="57"/>
      <c r="H8" s="57"/>
      <c r="I8" s="56"/>
      <c r="J8" s="82"/>
      <c r="K8" s="82"/>
      <c r="L8" s="50"/>
      <c r="M8" s="51"/>
      <c r="N8" s="56"/>
      <c r="O8" s="459"/>
      <c r="P8" s="459"/>
      <c r="Q8" s="473"/>
      <c r="R8" s="473"/>
      <c r="S8" s="473"/>
      <c r="T8" s="324"/>
      <c r="U8" s="324"/>
      <c r="V8" s="324"/>
      <c r="W8" s="324"/>
      <c r="X8" s="324"/>
      <c r="Y8" s="324"/>
      <c r="Z8" s="324"/>
      <c r="AA8" s="328"/>
      <c r="AB8" s="326"/>
      <c r="AC8" s="326"/>
      <c r="AD8" s="460"/>
      <c r="AE8" s="433"/>
      <c r="AF8" s="433"/>
      <c r="AG8" s="433"/>
      <c r="AH8" s="433"/>
      <c r="AI8" s="433"/>
      <c r="AJ8" s="433"/>
      <c r="AK8" s="433"/>
      <c r="AL8" s="433"/>
      <c r="AM8" s="433"/>
      <c r="AN8" s="435"/>
      <c r="AO8" s="435"/>
      <c r="AP8" s="438"/>
      <c r="AQ8" s="433"/>
      <c r="AR8" s="433"/>
      <c r="AS8" s="436" t="s">
        <v>1381</v>
      </c>
      <c r="AT8" s="437"/>
      <c r="AU8" s="437"/>
      <c r="AV8" s="437"/>
      <c r="AW8" s="438"/>
      <c r="AX8" s="436" t="s">
        <v>1382</v>
      </c>
      <c r="AY8" s="437"/>
      <c r="AZ8" s="437"/>
      <c r="BA8" s="437"/>
      <c r="BB8" s="438"/>
      <c r="BC8" s="436" t="s">
        <v>1383</v>
      </c>
      <c r="BD8" s="437"/>
      <c r="BE8" s="437"/>
      <c r="BF8" s="437"/>
      <c r="BG8" s="438"/>
      <c r="BH8" s="443" t="s">
        <v>1676</v>
      </c>
      <c r="BI8" s="444"/>
      <c r="BJ8" s="466" t="s">
        <v>1680</v>
      </c>
      <c r="BK8" s="439" t="s">
        <v>1667</v>
      </c>
      <c r="BL8" s="440"/>
      <c r="BM8" s="433"/>
      <c r="BN8" s="433"/>
      <c r="BO8" s="433"/>
      <c r="BP8" s="433"/>
      <c r="BQ8" s="433"/>
      <c r="BR8" s="433"/>
      <c r="BS8" s="433"/>
      <c r="BT8" s="433"/>
      <c r="BU8" s="433"/>
      <c r="BV8" s="435"/>
      <c r="BW8" s="435"/>
      <c r="BX8" s="438"/>
      <c r="BY8" s="433"/>
      <c r="BZ8" s="433"/>
      <c r="CA8" s="436" t="s">
        <v>1381</v>
      </c>
      <c r="CB8" s="437"/>
      <c r="CC8" s="437"/>
      <c r="CD8" s="437"/>
      <c r="CE8" s="438"/>
      <c r="CF8" s="436" t="s">
        <v>1382</v>
      </c>
      <c r="CG8" s="437"/>
      <c r="CH8" s="437"/>
      <c r="CI8" s="437"/>
      <c r="CJ8" s="438"/>
      <c r="CK8" s="436" t="s">
        <v>1383</v>
      </c>
      <c r="CL8" s="437"/>
      <c r="CM8" s="437"/>
      <c r="CN8" s="437"/>
      <c r="CO8" s="438"/>
      <c r="CP8" s="443" t="s">
        <v>1676</v>
      </c>
      <c r="CQ8" s="444"/>
      <c r="CR8" s="466" t="s">
        <v>1680</v>
      </c>
      <c r="CS8" s="439" t="s">
        <v>1667</v>
      </c>
      <c r="CT8" s="440"/>
      <c r="CU8" s="433"/>
      <c r="CV8" s="433"/>
      <c r="CW8" s="433"/>
      <c r="CX8" s="433"/>
      <c r="CY8" s="433"/>
      <c r="CZ8" s="433"/>
      <c r="DA8" s="433"/>
      <c r="DB8" s="433"/>
      <c r="DC8" s="433"/>
      <c r="DD8" s="435"/>
      <c r="DE8" s="435"/>
      <c r="DF8" s="438"/>
      <c r="DG8" s="433"/>
      <c r="DH8" s="433"/>
      <c r="DI8" s="436" t="s">
        <v>1381</v>
      </c>
      <c r="DJ8" s="437"/>
      <c r="DK8" s="437"/>
      <c r="DL8" s="437"/>
      <c r="DM8" s="438"/>
      <c r="DN8" s="436" t="s">
        <v>1382</v>
      </c>
      <c r="DO8" s="437"/>
      <c r="DP8" s="437"/>
      <c r="DQ8" s="437"/>
      <c r="DR8" s="438"/>
      <c r="DS8" s="436" t="s">
        <v>1383</v>
      </c>
      <c r="DT8" s="437"/>
      <c r="DU8" s="437"/>
      <c r="DV8" s="437"/>
      <c r="DW8" s="438"/>
      <c r="DX8" s="443" t="s">
        <v>1676</v>
      </c>
      <c r="DY8" s="444"/>
      <c r="DZ8" s="466" t="s">
        <v>1680</v>
      </c>
      <c r="EA8" s="439" t="s">
        <v>1667</v>
      </c>
      <c r="EB8" s="440"/>
      <c r="EC8" s="433"/>
      <c r="ED8" s="433"/>
      <c r="EE8" s="433"/>
      <c r="EF8" s="433"/>
      <c r="EG8" s="433"/>
      <c r="EH8" s="433"/>
      <c r="EI8" s="433"/>
      <c r="EJ8" s="433"/>
      <c r="EK8" s="433"/>
      <c r="EL8" s="435"/>
      <c r="EM8" s="435"/>
      <c r="EN8" s="438"/>
      <c r="EO8" s="433"/>
      <c r="EP8" s="433"/>
      <c r="EQ8" s="436" t="s">
        <v>1381</v>
      </c>
      <c r="ER8" s="437"/>
      <c r="ES8" s="437"/>
      <c r="ET8" s="437"/>
      <c r="EU8" s="438"/>
      <c r="EV8" s="436" t="s">
        <v>1382</v>
      </c>
      <c r="EW8" s="437"/>
      <c r="EX8" s="437"/>
      <c r="EY8" s="437"/>
      <c r="EZ8" s="438"/>
      <c r="FA8" s="436" t="s">
        <v>1383</v>
      </c>
      <c r="FB8" s="437"/>
      <c r="FC8" s="437"/>
      <c r="FD8" s="437"/>
      <c r="FE8" s="438"/>
      <c r="FF8" s="443" t="s">
        <v>1676</v>
      </c>
      <c r="FG8" s="444"/>
      <c r="FH8" s="466" t="s">
        <v>1680</v>
      </c>
      <c r="FI8" s="439" t="s">
        <v>1667</v>
      </c>
      <c r="FJ8" s="440"/>
      <c r="FK8" s="326"/>
      <c r="FL8" s="326"/>
      <c r="FM8" s="326"/>
      <c r="FN8" s="327"/>
      <c r="FO8" s="449"/>
      <c r="FP8" s="449"/>
      <c r="FQ8" s="434"/>
      <c r="FR8" s="434"/>
      <c r="FS8" s="56"/>
      <c r="FT8" s="450"/>
      <c r="FU8" s="450"/>
      <c r="FV8" s="451"/>
      <c r="FW8" s="451"/>
      <c r="FX8" s="451"/>
      <c r="FY8" s="74"/>
      <c r="FZ8" s="56"/>
    </row>
    <row r="9" spans="5:182" s="58" customFormat="1" ht="42" customHeight="1">
      <c r="E9" s="59"/>
      <c r="F9" s="59"/>
      <c r="G9" s="59"/>
      <c r="H9" s="59"/>
      <c r="I9" s="47"/>
      <c r="J9" s="47"/>
      <c r="K9" s="47"/>
      <c r="L9" s="59"/>
      <c r="M9" s="59"/>
      <c r="N9" s="59"/>
      <c r="O9" s="459"/>
      <c r="P9" s="459"/>
      <c r="Q9" s="459" t="s">
        <v>1682</v>
      </c>
      <c r="R9" s="459" t="s">
        <v>1683</v>
      </c>
      <c r="S9" s="459" t="s">
        <v>1677</v>
      </c>
      <c r="T9" s="326"/>
      <c r="U9" s="326"/>
      <c r="V9" s="326"/>
      <c r="W9" s="326"/>
      <c r="X9" s="326"/>
      <c r="Y9" s="326"/>
      <c r="Z9" s="326"/>
      <c r="AA9" s="329"/>
      <c r="AB9" s="326"/>
      <c r="AC9" s="326"/>
      <c r="AD9" s="460"/>
      <c r="AE9" s="433"/>
      <c r="AF9" s="433"/>
      <c r="AG9" s="433"/>
      <c r="AH9" s="433"/>
      <c r="AI9" s="433"/>
      <c r="AJ9" s="433"/>
      <c r="AK9" s="433"/>
      <c r="AL9" s="433"/>
      <c r="AM9" s="433"/>
      <c r="AN9" s="435"/>
      <c r="AO9" s="435"/>
      <c r="AP9" s="448" t="s">
        <v>18</v>
      </c>
      <c r="AQ9" s="449"/>
      <c r="AR9" s="449" t="s">
        <v>19</v>
      </c>
      <c r="AS9" s="435" t="s">
        <v>1386</v>
      </c>
      <c r="AT9" s="435"/>
      <c r="AU9" s="434" t="s">
        <v>1384</v>
      </c>
      <c r="AV9" s="434" t="s">
        <v>1385</v>
      </c>
      <c r="AW9" s="434"/>
      <c r="AX9" s="435" t="s">
        <v>1386</v>
      </c>
      <c r="AY9" s="435"/>
      <c r="AZ9" s="434" t="s">
        <v>1384</v>
      </c>
      <c r="BA9" s="434" t="s">
        <v>1385</v>
      </c>
      <c r="BB9" s="434"/>
      <c r="BC9" s="435" t="s">
        <v>1386</v>
      </c>
      <c r="BD9" s="435"/>
      <c r="BE9" s="434" t="s">
        <v>1384</v>
      </c>
      <c r="BF9" s="434" t="s">
        <v>1385</v>
      </c>
      <c r="BG9" s="434"/>
      <c r="BH9" s="445"/>
      <c r="BI9" s="446"/>
      <c r="BJ9" s="467"/>
      <c r="BK9" s="441"/>
      <c r="BL9" s="442"/>
      <c r="BM9" s="433"/>
      <c r="BN9" s="433"/>
      <c r="BO9" s="433"/>
      <c r="BP9" s="433"/>
      <c r="BQ9" s="433"/>
      <c r="BR9" s="433"/>
      <c r="BS9" s="433"/>
      <c r="BT9" s="433"/>
      <c r="BU9" s="433"/>
      <c r="BV9" s="435"/>
      <c r="BW9" s="435"/>
      <c r="BX9" s="448" t="s">
        <v>18</v>
      </c>
      <c r="BY9" s="449"/>
      <c r="BZ9" s="449" t="s">
        <v>19</v>
      </c>
      <c r="CA9" s="435" t="s">
        <v>1386</v>
      </c>
      <c r="CB9" s="435"/>
      <c r="CC9" s="434" t="s">
        <v>1384</v>
      </c>
      <c r="CD9" s="434" t="s">
        <v>1385</v>
      </c>
      <c r="CE9" s="434"/>
      <c r="CF9" s="435" t="s">
        <v>1386</v>
      </c>
      <c r="CG9" s="435"/>
      <c r="CH9" s="434" t="s">
        <v>1384</v>
      </c>
      <c r="CI9" s="434" t="s">
        <v>1385</v>
      </c>
      <c r="CJ9" s="434"/>
      <c r="CK9" s="435" t="s">
        <v>1386</v>
      </c>
      <c r="CL9" s="435"/>
      <c r="CM9" s="434" t="s">
        <v>1384</v>
      </c>
      <c r="CN9" s="434" t="s">
        <v>1385</v>
      </c>
      <c r="CO9" s="434"/>
      <c r="CP9" s="445"/>
      <c r="CQ9" s="446"/>
      <c r="CR9" s="467"/>
      <c r="CS9" s="441"/>
      <c r="CT9" s="442"/>
      <c r="CU9" s="433"/>
      <c r="CV9" s="433"/>
      <c r="CW9" s="433"/>
      <c r="CX9" s="433"/>
      <c r="CY9" s="433"/>
      <c r="CZ9" s="433"/>
      <c r="DA9" s="433"/>
      <c r="DB9" s="433"/>
      <c r="DC9" s="433"/>
      <c r="DD9" s="435"/>
      <c r="DE9" s="435"/>
      <c r="DF9" s="448" t="s">
        <v>18</v>
      </c>
      <c r="DG9" s="449"/>
      <c r="DH9" s="449" t="s">
        <v>19</v>
      </c>
      <c r="DI9" s="435" t="s">
        <v>1386</v>
      </c>
      <c r="DJ9" s="435"/>
      <c r="DK9" s="434" t="s">
        <v>1384</v>
      </c>
      <c r="DL9" s="434" t="s">
        <v>1385</v>
      </c>
      <c r="DM9" s="434"/>
      <c r="DN9" s="435" t="s">
        <v>1386</v>
      </c>
      <c r="DO9" s="435"/>
      <c r="DP9" s="434" t="s">
        <v>1384</v>
      </c>
      <c r="DQ9" s="434" t="s">
        <v>1385</v>
      </c>
      <c r="DR9" s="434"/>
      <c r="DS9" s="435" t="s">
        <v>1386</v>
      </c>
      <c r="DT9" s="435"/>
      <c r="DU9" s="434" t="s">
        <v>1384</v>
      </c>
      <c r="DV9" s="434" t="s">
        <v>1385</v>
      </c>
      <c r="DW9" s="434"/>
      <c r="DX9" s="445"/>
      <c r="DY9" s="446"/>
      <c r="DZ9" s="467"/>
      <c r="EA9" s="441"/>
      <c r="EB9" s="442"/>
      <c r="EC9" s="433"/>
      <c r="ED9" s="433"/>
      <c r="EE9" s="433"/>
      <c r="EF9" s="433"/>
      <c r="EG9" s="433"/>
      <c r="EH9" s="433"/>
      <c r="EI9" s="433"/>
      <c r="EJ9" s="433"/>
      <c r="EK9" s="433"/>
      <c r="EL9" s="435"/>
      <c r="EM9" s="435"/>
      <c r="EN9" s="448" t="s">
        <v>18</v>
      </c>
      <c r="EO9" s="449"/>
      <c r="EP9" s="449" t="s">
        <v>19</v>
      </c>
      <c r="EQ9" s="435" t="s">
        <v>1386</v>
      </c>
      <c r="ER9" s="435"/>
      <c r="ES9" s="434" t="s">
        <v>1384</v>
      </c>
      <c r="ET9" s="434" t="s">
        <v>1385</v>
      </c>
      <c r="EU9" s="434"/>
      <c r="EV9" s="435" t="s">
        <v>1386</v>
      </c>
      <c r="EW9" s="435"/>
      <c r="EX9" s="434" t="s">
        <v>1384</v>
      </c>
      <c r="EY9" s="434" t="s">
        <v>1385</v>
      </c>
      <c r="EZ9" s="434"/>
      <c r="FA9" s="435" t="s">
        <v>1386</v>
      </c>
      <c r="FB9" s="435"/>
      <c r="FC9" s="434" t="s">
        <v>1384</v>
      </c>
      <c r="FD9" s="434" t="s">
        <v>1385</v>
      </c>
      <c r="FE9" s="434"/>
      <c r="FF9" s="445"/>
      <c r="FG9" s="446"/>
      <c r="FH9" s="467"/>
      <c r="FI9" s="441"/>
      <c r="FJ9" s="442"/>
      <c r="FK9" s="326"/>
      <c r="FL9" s="326"/>
      <c r="FM9" s="326"/>
      <c r="FN9" s="327"/>
      <c r="FO9" s="454" t="s">
        <v>1491</v>
      </c>
      <c r="FP9" s="454" t="s">
        <v>1491</v>
      </c>
      <c r="FQ9" s="433" t="s">
        <v>1491</v>
      </c>
      <c r="FR9" s="433" t="s">
        <v>1491</v>
      </c>
      <c r="FS9" s="59"/>
      <c r="FT9" s="450"/>
      <c r="FU9" s="450"/>
      <c r="FV9" s="447" t="s">
        <v>1682</v>
      </c>
      <c r="FW9" s="447" t="s">
        <v>1683</v>
      </c>
      <c r="FX9" s="447" t="s">
        <v>1677</v>
      </c>
      <c r="FY9" s="170"/>
      <c r="FZ9" s="59"/>
    </row>
    <row r="10" spans="5:182" s="58" customFormat="1" ht="12" customHeight="1">
      <c r="F10" s="59"/>
      <c r="G10" s="59"/>
      <c r="H10" s="59"/>
      <c r="I10" s="47"/>
      <c r="J10" s="47"/>
      <c r="K10" s="47"/>
      <c r="L10" s="59"/>
      <c r="M10" s="59"/>
      <c r="N10" s="59"/>
      <c r="O10" s="459"/>
      <c r="P10" s="459"/>
      <c r="Q10" s="459"/>
      <c r="R10" s="459"/>
      <c r="S10" s="459"/>
      <c r="T10" s="326"/>
      <c r="U10" s="326"/>
      <c r="V10" s="326"/>
      <c r="W10" s="326"/>
      <c r="X10" s="326"/>
      <c r="Y10" s="326"/>
      <c r="Z10" s="326"/>
      <c r="AA10" s="329"/>
      <c r="AB10" s="326"/>
      <c r="AC10" s="326"/>
      <c r="AD10" s="460"/>
      <c r="AE10" s="330" t="s">
        <v>1608</v>
      </c>
      <c r="AF10" s="330" t="s">
        <v>1607</v>
      </c>
      <c r="AG10" s="330" t="s">
        <v>1608</v>
      </c>
      <c r="AH10" s="330" t="s">
        <v>1607</v>
      </c>
      <c r="AI10" s="330" t="s">
        <v>1608</v>
      </c>
      <c r="AJ10" s="330" t="s">
        <v>1607</v>
      </c>
      <c r="AK10" s="433"/>
      <c r="AL10" s="433"/>
      <c r="AM10" s="433"/>
      <c r="AN10" s="330" t="s">
        <v>1608</v>
      </c>
      <c r="AO10" s="330" t="s">
        <v>1607</v>
      </c>
      <c r="AP10" s="331" t="s">
        <v>1608</v>
      </c>
      <c r="AQ10" s="330" t="s">
        <v>1607</v>
      </c>
      <c r="AR10" s="434"/>
      <c r="AS10" s="330" t="s">
        <v>1608</v>
      </c>
      <c r="AT10" s="330" t="s">
        <v>1607</v>
      </c>
      <c r="AU10" s="434"/>
      <c r="AV10" s="330" t="s">
        <v>1608</v>
      </c>
      <c r="AW10" s="330" t="s">
        <v>1607</v>
      </c>
      <c r="AX10" s="330" t="s">
        <v>1608</v>
      </c>
      <c r="AY10" s="330" t="s">
        <v>1607</v>
      </c>
      <c r="AZ10" s="434"/>
      <c r="BA10" s="330" t="s">
        <v>1608</v>
      </c>
      <c r="BB10" s="330" t="s">
        <v>1607</v>
      </c>
      <c r="BC10" s="330" t="s">
        <v>1608</v>
      </c>
      <c r="BD10" s="330" t="s">
        <v>1607</v>
      </c>
      <c r="BE10" s="434"/>
      <c r="BF10" s="330" t="s">
        <v>1608</v>
      </c>
      <c r="BG10" s="330" t="s">
        <v>1607</v>
      </c>
      <c r="BH10" s="330" t="s">
        <v>1608</v>
      </c>
      <c r="BI10" s="330" t="s">
        <v>1607</v>
      </c>
      <c r="BJ10" s="468"/>
      <c r="BK10" s="330" t="s">
        <v>1608</v>
      </c>
      <c r="BL10" s="330" t="s">
        <v>1607</v>
      </c>
      <c r="BM10" s="330" t="s">
        <v>1608</v>
      </c>
      <c r="BN10" s="330" t="s">
        <v>1607</v>
      </c>
      <c r="BO10" s="330" t="s">
        <v>1608</v>
      </c>
      <c r="BP10" s="330" t="s">
        <v>1607</v>
      </c>
      <c r="BQ10" s="330" t="s">
        <v>1608</v>
      </c>
      <c r="BR10" s="330" t="s">
        <v>1607</v>
      </c>
      <c r="BS10" s="433"/>
      <c r="BT10" s="433"/>
      <c r="BU10" s="433"/>
      <c r="BV10" s="330" t="s">
        <v>1608</v>
      </c>
      <c r="BW10" s="330" t="s">
        <v>1607</v>
      </c>
      <c r="BX10" s="331" t="s">
        <v>1608</v>
      </c>
      <c r="BY10" s="330" t="s">
        <v>1607</v>
      </c>
      <c r="BZ10" s="434"/>
      <c r="CA10" s="330" t="s">
        <v>1608</v>
      </c>
      <c r="CB10" s="330" t="s">
        <v>1607</v>
      </c>
      <c r="CC10" s="434"/>
      <c r="CD10" s="330" t="s">
        <v>1608</v>
      </c>
      <c r="CE10" s="330" t="s">
        <v>1607</v>
      </c>
      <c r="CF10" s="330" t="s">
        <v>1608</v>
      </c>
      <c r="CG10" s="330" t="s">
        <v>1607</v>
      </c>
      <c r="CH10" s="434"/>
      <c r="CI10" s="330" t="s">
        <v>1608</v>
      </c>
      <c r="CJ10" s="330" t="s">
        <v>1607</v>
      </c>
      <c r="CK10" s="330" t="s">
        <v>1608</v>
      </c>
      <c r="CL10" s="330" t="s">
        <v>1607</v>
      </c>
      <c r="CM10" s="434"/>
      <c r="CN10" s="330" t="s">
        <v>1608</v>
      </c>
      <c r="CO10" s="330" t="s">
        <v>1607</v>
      </c>
      <c r="CP10" s="330" t="s">
        <v>1608</v>
      </c>
      <c r="CQ10" s="330" t="s">
        <v>1607</v>
      </c>
      <c r="CR10" s="468"/>
      <c r="CS10" s="330" t="s">
        <v>1608</v>
      </c>
      <c r="CT10" s="330" t="s">
        <v>1607</v>
      </c>
      <c r="CU10" s="330" t="s">
        <v>1608</v>
      </c>
      <c r="CV10" s="330" t="s">
        <v>1607</v>
      </c>
      <c r="CW10" s="330" t="s">
        <v>1608</v>
      </c>
      <c r="CX10" s="330" t="s">
        <v>1607</v>
      </c>
      <c r="CY10" s="330" t="s">
        <v>1608</v>
      </c>
      <c r="CZ10" s="330" t="s">
        <v>1607</v>
      </c>
      <c r="DA10" s="433"/>
      <c r="DB10" s="433"/>
      <c r="DC10" s="433"/>
      <c r="DD10" s="330" t="s">
        <v>1608</v>
      </c>
      <c r="DE10" s="330" t="s">
        <v>1607</v>
      </c>
      <c r="DF10" s="331" t="s">
        <v>1608</v>
      </c>
      <c r="DG10" s="330" t="s">
        <v>1607</v>
      </c>
      <c r="DH10" s="434"/>
      <c r="DI10" s="330" t="s">
        <v>1608</v>
      </c>
      <c r="DJ10" s="330" t="s">
        <v>1607</v>
      </c>
      <c r="DK10" s="434"/>
      <c r="DL10" s="330" t="s">
        <v>1608</v>
      </c>
      <c r="DM10" s="330" t="s">
        <v>1607</v>
      </c>
      <c r="DN10" s="330" t="s">
        <v>1608</v>
      </c>
      <c r="DO10" s="330" t="s">
        <v>1607</v>
      </c>
      <c r="DP10" s="434"/>
      <c r="DQ10" s="330" t="s">
        <v>1608</v>
      </c>
      <c r="DR10" s="330" t="s">
        <v>1607</v>
      </c>
      <c r="DS10" s="330" t="s">
        <v>1608</v>
      </c>
      <c r="DT10" s="330" t="s">
        <v>1607</v>
      </c>
      <c r="DU10" s="434"/>
      <c r="DV10" s="330" t="s">
        <v>1608</v>
      </c>
      <c r="DW10" s="330" t="s">
        <v>1607</v>
      </c>
      <c r="DX10" s="330" t="s">
        <v>1608</v>
      </c>
      <c r="DY10" s="330" t="s">
        <v>1607</v>
      </c>
      <c r="DZ10" s="468"/>
      <c r="EA10" s="330" t="s">
        <v>1608</v>
      </c>
      <c r="EB10" s="330" t="s">
        <v>1607</v>
      </c>
      <c r="EC10" s="332" t="s">
        <v>1608</v>
      </c>
      <c r="ED10" s="332" t="s">
        <v>1607</v>
      </c>
      <c r="EE10" s="332" t="s">
        <v>1608</v>
      </c>
      <c r="EF10" s="332" t="s">
        <v>1607</v>
      </c>
      <c r="EG10" s="332" t="s">
        <v>1608</v>
      </c>
      <c r="EH10" s="332" t="s">
        <v>1607</v>
      </c>
      <c r="EI10" s="454"/>
      <c r="EJ10" s="454"/>
      <c r="EK10" s="454"/>
      <c r="EL10" s="332" t="s">
        <v>1608</v>
      </c>
      <c r="EM10" s="332" t="s">
        <v>1607</v>
      </c>
      <c r="EN10" s="333" t="s">
        <v>1608</v>
      </c>
      <c r="EO10" s="332" t="s">
        <v>1607</v>
      </c>
      <c r="EP10" s="456"/>
      <c r="EQ10" s="332" t="s">
        <v>1608</v>
      </c>
      <c r="ER10" s="332" t="s">
        <v>1607</v>
      </c>
      <c r="ES10" s="456"/>
      <c r="ET10" s="332" t="s">
        <v>1608</v>
      </c>
      <c r="EU10" s="332" t="s">
        <v>1607</v>
      </c>
      <c r="EV10" s="332" t="s">
        <v>1608</v>
      </c>
      <c r="EW10" s="332" t="s">
        <v>1607</v>
      </c>
      <c r="EX10" s="456"/>
      <c r="EY10" s="332" t="s">
        <v>1608</v>
      </c>
      <c r="EZ10" s="332" t="s">
        <v>1607</v>
      </c>
      <c r="FA10" s="332" t="s">
        <v>1608</v>
      </c>
      <c r="FB10" s="332" t="s">
        <v>1607</v>
      </c>
      <c r="FC10" s="456"/>
      <c r="FD10" s="332" t="s">
        <v>1608</v>
      </c>
      <c r="FE10" s="332" t="s">
        <v>1607</v>
      </c>
      <c r="FF10" s="332" t="s">
        <v>1608</v>
      </c>
      <c r="FG10" s="332" t="s">
        <v>1607</v>
      </c>
      <c r="FH10" s="467"/>
      <c r="FI10" s="332" t="s">
        <v>1608</v>
      </c>
      <c r="FJ10" s="332" t="s">
        <v>1607</v>
      </c>
      <c r="FK10" s="326"/>
      <c r="FL10" s="326"/>
      <c r="FM10" s="326"/>
      <c r="FN10" s="327"/>
      <c r="FO10" s="455"/>
      <c r="FP10" s="455"/>
      <c r="FQ10" s="433"/>
      <c r="FR10" s="433"/>
      <c r="FS10" s="59"/>
      <c r="FT10" s="450"/>
      <c r="FU10" s="450"/>
      <c r="FV10" s="447"/>
      <c r="FW10" s="447"/>
      <c r="FX10" s="447"/>
      <c r="FY10" s="170"/>
      <c r="FZ10" s="59"/>
    </row>
    <row r="11" spans="5:182" s="58" customFormat="1" ht="12" customHeight="1">
      <c r="F11" s="59"/>
      <c r="G11" s="59"/>
      <c r="H11" s="59"/>
      <c r="I11" s="47"/>
      <c r="J11" s="47"/>
      <c r="K11" s="47"/>
      <c r="L11" s="59"/>
      <c r="M11" s="59"/>
      <c r="N11" s="59"/>
      <c r="O11" s="463" t="s">
        <v>1524</v>
      </c>
      <c r="P11" s="334" t="s">
        <v>1730</v>
      </c>
      <c r="Q11" s="175">
        <f>IF(R11=0,0,S11/R11*1000)</f>
        <v>4825.8876305752501</v>
      </c>
      <c r="R11" s="175">
        <f>SUM(R12:R14)</f>
        <v>1085294.69</v>
      </c>
      <c r="S11" s="175">
        <f>SUM(S12:S14)</f>
        <v>5237510.2200000007</v>
      </c>
      <c r="T11" s="172"/>
      <c r="U11" s="172"/>
      <c r="V11" s="172"/>
      <c r="W11" s="172"/>
      <c r="X11" s="172"/>
      <c r="Y11" s="172"/>
      <c r="Z11" s="172"/>
      <c r="AA11" s="173"/>
      <c r="AB11" s="172"/>
      <c r="AC11" s="172"/>
      <c r="AD11" s="292"/>
      <c r="AE11" s="179"/>
      <c r="AF11" s="179"/>
      <c r="AG11" s="175">
        <f>IF(AK11=0,0,AN11/AK11*1000)</f>
        <v>6345.4964312123775</v>
      </c>
      <c r="AH11" s="175">
        <f>IF(AK11=0,0,AO11/AK11*1000)</f>
        <v>6345.4964312123775</v>
      </c>
      <c r="AI11" s="175">
        <f>IF(AM11=0,0,AN11/AM11*1000)</f>
        <v>5437.4433857860995</v>
      </c>
      <c r="AJ11" s="175">
        <f>IF(AM11=0,0,AO11/AM11*1000)</f>
        <v>5437.4433857860995</v>
      </c>
      <c r="AK11" s="175">
        <f>SUM(AK12:AK14)</f>
        <v>144.69899999999998</v>
      </c>
      <c r="AL11" s="179"/>
      <c r="AM11" s="175">
        <f>SUM(AM12:AM14)</f>
        <v>168.863733</v>
      </c>
      <c r="AN11" s="175">
        <f>SUM(AN12:AN14)</f>
        <v>918.18698809999978</v>
      </c>
      <c r="AO11" s="175">
        <f>SUM(AO12:AO14)</f>
        <v>918.18698809999978</v>
      </c>
      <c r="AP11" s="228"/>
      <c r="AQ11" s="179"/>
      <c r="AR11" s="175">
        <f>SUM(AR12:AR14)</f>
        <v>0</v>
      </c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5">
        <f>IF(BS11=0,0,BV11/BS11*1000)</f>
        <v>6297.1879422231523</v>
      </c>
      <c r="BP11" s="175">
        <f>IF(BS11=0,0,BW11/BS11*1000)</f>
        <v>6297.1879422231523</v>
      </c>
      <c r="BQ11" s="175">
        <f>IF(BU11=0,0,BV11/BU11*1000)</f>
        <v>5428.6102950199584</v>
      </c>
      <c r="BR11" s="175">
        <f>IF(BU11=0,0,BW11/BU11*1000)</f>
        <v>5428.6102950199584</v>
      </c>
      <c r="BS11" s="175">
        <f>SUM(BS12:BS14)</f>
        <v>95.54</v>
      </c>
      <c r="BT11" s="179"/>
      <c r="BU11" s="175">
        <f>SUM(BU12:BU14)</f>
        <v>110.82640000000001</v>
      </c>
      <c r="BV11" s="175">
        <f>SUM(BV12:BV14)</f>
        <v>601.63333599999999</v>
      </c>
      <c r="BW11" s="175">
        <f>SUM(BW12:BW14)</f>
        <v>601.63333599999999</v>
      </c>
      <c r="BX11" s="228"/>
      <c r="BY11" s="179"/>
      <c r="BZ11" s="175">
        <f>SUM(BZ12:BZ14)</f>
        <v>0</v>
      </c>
      <c r="CA11" s="179"/>
      <c r="CB11" s="179"/>
      <c r="CC11" s="179"/>
      <c r="CD11" s="179"/>
      <c r="CE11" s="179"/>
      <c r="CF11" s="179"/>
      <c r="CG11" s="179"/>
      <c r="CH11" s="179"/>
      <c r="CI11" s="179"/>
      <c r="CJ11" s="179"/>
      <c r="CK11" s="179"/>
      <c r="CL11" s="179"/>
      <c r="CM11" s="179"/>
      <c r="CN11" s="179"/>
      <c r="CO11" s="179"/>
      <c r="CP11" s="179"/>
      <c r="CQ11" s="179"/>
      <c r="CR11" s="179"/>
      <c r="CS11" s="179"/>
      <c r="CT11" s="179"/>
      <c r="CU11" s="179"/>
      <c r="CV11" s="179"/>
      <c r="CW11" s="175">
        <f>IF(DA11=0,0,DD11/DA11*1000)</f>
        <v>6297.0843219762392</v>
      </c>
      <c r="CX11" s="175">
        <f>IF(DA11=0,0,DE11/DA11*1000)</f>
        <v>6297.0843219762392</v>
      </c>
      <c r="CY11" s="175">
        <f>IF(DC11=0,0,DD11/DC11*1000)</f>
        <v>5411.2609108672677</v>
      </c>
      <c r="CZ11" s="175">
        <f>IF(DC11=0,0,DE11/DC11*1000)</f>
        <v>5411.2609108672677</v>
      </c>
      <c r="DA11" s="175">
        <f>SUM(DA12:DA14)</f>
        <v>95.534999999999997</v>
      </c>
      <c r="DB11" s="179"/>
      <c r="DC11" s="175">
        <f>SUM(DC12:DC14)</f>
        <v>111.17407949999999</v>
      </c>
      <c r="DD11" s="175">
        <f>SUM(DD12:DD14)</f>
        <v>601.59195069999998</v>
      </c>
      <c r="DE11" s="175">
        <f>SUM(DE12:DE14)</f>
        <v>601.59195069999998</v>
      </c>
      <c r="DF11" s="228"/>
      <c r="DG11" s="179"/>
      <c r="DH11" s="175">
        <f>SUM(DH12:DH14)</f>
        <v>0</v>
      </c>
      <c r="DI11" s="179"/>
      <c r="DJ11" s="179"/>
      <c r="DK11" s="179"/>
      <c r="DL11" s="179"/>
      <c r="DM11" s="179"/>
      <c r="DN11" s="179"/>
      <c r="DO11" s="179"/>
      <c r="DP11" s="179"/>
      <c r="DQ11" s="179"/>
      <c r="DR11" s="179"/>
      <c r="DS11" s="179"/>
      <c r="DT11" s="179"/>
      <c r="DU11" s="179"/>
      <c r="DV11" s="179"/>
      <c r="DW11" s="179"/>
      <c r="DX11" s="179"/>
      <c r="DY11" s="179"/>
      <c r="DZ11" s="179"/>
      <c r="EA11" s="179"/>
      <c r="EB11" s="179"/>
      <c r="EC11" s="179"/>
      <c r="ED11" s="179"/>
      <c r="EE11" s="175">
        <f>IF(EI11=0,0,EL11/EI11*1000)</f>
        <v>6339.2154494783481</v>
      </c>
      <c r="EF11" s="175">
        <f>IF(EI11=0,0,EM11/EI11*1000)</f>
        <v>6339.2154494783481</v>
      </c>
      <c r="EG11" s="175">
        <f>IF(EK11=0,0,EL11/EK11*1000)</f>
        <v>5450.2755132648517</v>
      </c>
      <c r="EH11" s="175">
        <f>IF(EK11=0,0,EM11/EK11*1000)</f>
        <v>5450.2755132648517</v>
      </c>
      <c r="EI11" s="175">
        <f>SUM(EI12:EI14)</f>
        <v>83.963999999999999</v>
      </c>
      <c r="EJ11" s="179"/>
      <c r="EK11" s="175">
        <f>SUM(EK12:EK14)</f>
        <v>97.658528399999994</v>
      </c>
      <c r="EL11" s="175">
        <f>SUM(EL12:EL14)</f>
        <v>532.26588600000002</v>
      </c>
      <c r="EM11" s="175">
        <f>SUM(EM12:EM14)</f>
        <v>532.26588600000002</v>
      </c>
      <c r="EN11" s="228"/>
      <c r="EO11" s="179"/>
      <c r="EP11" s="175">
        <f>SUM(EP12:EP14)</f>
        <v>0</v>
      </c>
      <c r="EQ11" s="179"/>
      <c r="ER11" s="179"/>
      <c r="ES11" s="179"/>
      <c r="ET11" s="179"/>
      <c r="EU11" s="179"/>
      <c r="EV11" s="179"/>
      <c r="EW11" s="179"/>
      <c r="EX11" s="179"/>
      <c r="EY11" s="179"/>
      <c r="EZ11" s="179"/>
      <c r="FA11" s="179"/>
      <c r="FB11" s="179"/>
      <c r="FC11" s="179"/>
      <c r="FD11" s="179"/>
      <c r="FE11" s="179"/>
      <c r="FF11" s="179"/>
      <c r="FG11" s="179"/>
      <c r="FH11" s="179"/>
      <c r="FI11" s="179"/>
      <c r="FJ11" s="179"/>
      <c r="FK11" s="293"/>
      <c r="FL11" s="172"/>
      <c r="FM11" s="172"/>
      <c r="FN11" s="220"/>
      <c r="FO11" s="294"/>
      <c r="FP11" s="294"/>
      <c r="FQ11" s="294"/>
      <c r="FR11" s="294"/>
      <c r="FS11" s="59"/>
      <c r="FT11" s="291"/>
      <c r="FU11" s="291"/>
      <c r="FV11" s="222"/>
      <c r="FW11" s="222"/>
      <c r="FX11" s="222"/>
      <c r="FY11" s="170"/>
      <c r="FZ11" s="59"/>
    </row>
    <row r="12" spans="5:182" s="58" customFormat="1" ht="12" customHeight="1">
      <c r="F12" s="59"/>
      <c r="G12" s="59"/>
      <c r="H12" s="59"/>
      <c r="J12" s="82"/>
      <c r="K12" s="82"/>
      <c r="L12" s="59"/>
      <c r="M12" s="59"/>
      <c r="N12" s="59"/>
      <c r="O12" s="464"/>
      <c r="P12" s="335" t="s">
        <v>1650</v>
      </c>
      <c r="Q12" s="175">
        <f>SUMIF(PLAN_201X!$B$2:$B$19,PLAN_201X!$B2,PLAN_201X!C$2:C$19)</f>
        <v>4824.2700000000004</v>
      </c>
      <c r="R12" s="175">
        <f>SUMIF(PLAN_201X!$B$2:$B$19,PLAN_201X!$B2,PLAN_201X!D$2:D$19)</f>
        <v>1074543</v>
      </c>
      <c r="S12" s="175">
        <f>SUMIF(PLAN_201X!$B$2:$B$19,PLAN_201X!$B2,PLAN_201X!E$2:E$19)</f>
        <v>5183885.03</v>
      </c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7" t="str">
        <f>AC12 &amp; " :: ACTI"</f>
        <v xml:space="preserve"> :: ACTI</v>
      </c>
      <c r="AE12" s="179"/>
      <c r="AF12" s="179"/>
      <c r="AG12" s="178">
        <f>Т!AG12</f>
        <v>5988.5299999999988</v>
      </c>
      <c r="AH12" s="178">
        <f>Т!AH12</f>
        <v>5988.5299999999988</v>
      </c>
      <c r="AI12" s="178">
        <f>Т!AI12</f>
        <v>5131.5595544130229</v>
      </c>
      <c r="AJ12" s="178">
        <f>Т!AJ12</f>
        <v>5131.5595544130229</v>
      </c>
      <c r="AK12" s="178">
        <f>Т!AK12</f>
        <v>126.85</v>
      </c>
      <c r="AL12" s="179"/>
      <c r="AM12" s="178">
        <f>Т!AM12</f>
        <v>148.03395</v>
      </c>
      <c r="AN12" s="178">
        <f>Т!AN12</f>
        <v>759.64503049999985</v>
      </c>
      <c r="AO12" s="178">
        <f>Т!AO12</f>
        <v>759.64503049999985</v>
      </c>
      <c r="AP12" s="179"/>
      <c r="AQ12" s="179"/>
      <c r="AR12" s="178">
        <f>Т!AR12</f>
        <v>0</v>
      </c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8">
        <f>Т!BO12</f>
        <v>5974.9</v>
      </c>
      <c r="BP12" s="178">
        <f>Т!BP12</f>
        <v>5974.9</v>
      </c>
      <c r="BQ12" s="178">
        <f>Т!BQ12</f>
        <v>5150.7758620689656</v>
      </c>
      <c r="BR12" s="178">
        <f>Т!BR12</f>
        <v>5150.7758620689656</v>
      </c>
      <c r="BS12" s="178">
        <f>Т!BS12</f>
        <v>84.84</v>
      </c>
      <c r="BT12" s="179"/>
      <c r="BU12" s="178">
        <f>Т!BU12</f>
        <v>98.414400000000001</v>
      </c>
      <c r="BV12" s="178">
        <f>Т!BV12</f>
        <v>506.91051600000003</v>
      </c>
      <c r="BW12" s="178">
        <f>Т!BW12</f>
        <v>506.91051600000003</v>
      </c>
      <c r="BX12" s="179"/>
      <c r="BY12" s="179"/>
      <c r="BZ12" s="178">
        <f>Т!BZ12</f>
        <v>0</v>
      </c>
      <c r="CA12" s="179"/>
      <c r="CB12" s="179"/>
      <c r="CC12" s="179"/>
      <c r="CD12" s="179"/>
      <c r="CE12" s="179"/>
      <c r="CF12" s="179"/>
      <c r="CG12" s="179"/>
      <c r="CH12" s="179"/>
      <c r="CI12" s="179"/>
      <c r="CJ12" s="179"/>
      <c r="CK12" s="179"/>
      <c r="CL12" s="179"/>
      <c r="CM12" s="179"/>
      <c r="CN12" s="179"/>
      <c r="CO12" s="179"/>
      <c r="CP12" s="179"/>
      <c r="CQ12" s="179"/>
      <c r="CR12" s="179"/>
      <c r="CS12" s="179"/>
      <c r="CT12" s="179"/>
      <c r="CU12" s="179"/>
      <c r="CV12" s="179"/>
      <c r="CW12" s="178">
        <f>Т!CW12</f>
        <v>5974.9</v>
      </c>
      <c r="CX12" s="178">
        <f>Т!CX12</f>
        <v>5974.9</v>
      </c>
      <c r="CY12" s="178">
        <f>Т!CY12</f>
        <v>5134.3989000601523</v>
      </c>
      <c r="CZ12" s="178">
        <f>Т!CZ12</f>
        <v>5134.3989000601523</v>
      </c>
      <c r="DA12" s="178">
        <f>Т!DA12</f>
        <v>84.838999999999999</v>
      </c>
      <c r="DB12" s="179"/>
      <c r="DC12" s="178">
        <f>Т!DC12</f>
        <v>98.727144299999992</v>
      </c>
      <c r="DD12" s="178">
        <f>Т!DD12</f>
        <v>506.90454109999996</v>
      </c>
      <c r="DE12" s="178">
        <f>Т!DE12</f>
        <v>506.90454109999996</v>
      </c>
      <c r="DF12" s="179"/>
      <c r="DG12" s="179"/>
      <c r="DH12" s="178">
        <f>Т!DH12</f>
        <v>0</v>
      </c>
      <c r="DI12" s="179"/>
      <c r="DJ12" s="179"/>
      <c r="DK12" s="179"/>
      <c r="DL12" s="179"/>
      <c r="DM12" s="179"/>
      <c r="DN12" s="179"/>
      <c r="DO12" s="179"/>
      <c r="DP12" s="179"/>
      <c r="DQ12" s="179"/>
      <c r="DR12" s="179"/>
      <c r="DS12" s="179"/>
      <c r="DT12" s="179"/>
      <c r="DU12" s="179"/>
      <c r="DV12" s="179"/>
      <c r="DW12" s="179"/>
      <c r="DX12" s="179"/>
      <c r="DY12" s="179"/>
      <c r="DZ12" s="179"/>
      <c r="EA12" s="179"/>
      <c r="EB12" s="179"/>
      <c r="EC12" s="179"/>
      <c r="ED12" s="179"/>
      <c r="EE12" s="178">
        <f>Т!EE12</f>
        <v>5972.3</v>
      </c>
      <c r="EF12" s="178">
        <f>Т!EF12</f>
        <v>5972.3</v>
      </c>
      <c r="EG12" s="178">
        <f>Т!EG12</f>
        <v>5134.8121399707688</v>
      </c>
      <c r="EH12" s="178">
        <f>Т!EH12</f>
        <v>5134.8121399707688</v>
      </c>
      <c r="EI12" s="178">
        <f>Т!EI12</f>
        <v>73.268000000000001</v>
      </c>
      <c r="EJ12" s="179"/>
      <c r="EK12" s="178">
        <f>Т!EK12</f>
        <v>85.218010800000002</v>
      </c>
      <c r="EL12" s="178">
        <f>Т!EL12</f>
        <v>437.57847640000006</v>
      </c>
      <c r="EM12" s="178">
        <f>Т!EM12</f>
        <v>437.57847640000006</v>
      </c>
      <c r="EN12" s="179"/>
      <c r="EO12" s="179"/>
      <c r="EP12" s="178">
        <f>Т!EP12</f>
        <v>0</v>
      </c>
      <c r="EQ12" s="179"/>
      <c r="ER12" s="179"/>
      <c r="ES12" s="179"/>
      <c r="ET12" s="179"/>
      <c r="EU12" s="179"/>
      <c r="EV12" s="179"/>
      <c r="EW12" s="179"/>
      <c r="EX12" s="179"/>
      <c r="EY12" s="179"/>
      <c r="EZ12" s="179"/>
      <c r="FA12" s="179"/>
      <c r="FB12" s="179"/>
      <c r="FC12" s="179"/>
      <c r="FD12" s="179"/>
      <c r="FE12" s="179"/>
      <c r="FF12" s="179"/>
      <c r="FG12" s="179"/>
      <c r="FH12" s="179"/>
      <c r="FI12" s="179"/>
      <c r="FJ12" s="179"/>
      <c r="FK12" s="229"/>
      <c r="FL12" s="176"/>
      <c r="FM12" s="176"/>
      <c r="FN12" s="176"/>
      <c r="FO12" s="371"/>
      <c r="FP12" s="372" t="str">
        <f>IF(PLAN_201X!$B2="1",IF(PLAN_201X!$H2="","",PLAN_201X!$H2),"")</f>
        <v/>
      </c>
      <c r="FQ12" s="372" t="str">
        <f>IF(PLAN_201X!$B2="1",IF(PLAN_201X!$I2="","",PLAN_201X!$I2),"")</f>
        <v/>
      </c>
      <c r="FR12" s="372" t="str">
        <f>IF(PLAN_201X!$B2="1",IF(PLAN_201X!$J2="","",PLAN_201X!$J2),"")</f>
        <v/>
      </c>
      <c r="FS12" s="171"/>
      <c r="FT12" s="453" t="s">
        <v>1524</v>
      </c>
      <c r="FU12" s="227" t="s">
        <v>1650</v>
      </c>
      <c r="FV12" s="230">
        <f>SUMIF(PLAN_201X!$B$2:$B$19,PLAN_201X!$B2,PLAN_201X!C$2:C$19)</f>
        <v>4824.2700000000004</v>
      </c>
      <c r="FW12" s="230">
        <f>SUMIF(PLAN_201X!$B$2:$B$19,PLAN_201X!$B2,PLAN_201X!D$2:D$19)</f>
        <v>1074543</v>
      </c>
      <c r="FX12" s="230">
        <f>SUMIF(PLAN_201X!$B$2:$B$19,PLAN_201X!$B2,PLAN_201X!E$2:E$19)</f>
        <v>5183885.03</v>
      </c>
      <c r="FY12" s="230" t="str">
        <f>IF(PLAN_201X!F2="","",PLAN_201X!F2)</f>
        <v>APRL</v>
      </c>
      <c r="FZ12" s="59"/>
    </row>
    <row r="13" spans="5:182" s="58" customFormat="1" ht="12" customHeight="1">
      <c r="F13" s="59"/>
      <c r="G13" s="59"/>
      <c r="H13" s="59"/>
      <c r="I13" s="82"/>
      <c r="J13" s="82"/>
      <c r="K13" s="82"/>
      <c r="L13" s="59"/>
      <c r="M13" s="59"/>
      <c r="N13" s="59"/>
      <c r="O13" s="464"/>
      <c r="P13" s="335" t="s">
        <v>1651</v>
      </c>
      <c r="Q13" s="175">
        <f>SUMIF(PLAN_201X!$B$2:$B$19,PLAN_201X!$B3,PLAN_201X!C$2:C$19)</f>
        <v>4987.6099999999997</v>
      </c>
      <c r="R13" s="175">
        <f>SUMIF(PLAN_201X!$B$2:$B$19,PLAN_201X!$B3,PLAN_201X!D$2:D$19)</f>
        <v>10751.69</v>
      </c>
      <c r="S13" s="175">
        <f>SUMIF(PLAN_201X!$B$2:$B$19,PLAN_201X!$B3,PLAN_201X!E$2:E$19)</f>
        <v>53625.19</v>
      </c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7" t="str">
        <f t="shared" ref="AD13:AD21" si="0">AC13 &amp; " :: ACTI"</f>
        <v xml:space="preserve"> :: ACTI</v>
      </c>
      <c r="AE13" s="179"/>
      <c r="AF13" s="179"/>
      <c r="AG13" s="178">
        <f>Т!AG13</f>
        <v>8882.4</v>
      </c>
      <c r="AH13" s="178">
        <f>Т!AH13</f>
        <v>8882.4</v>
      </c>
      <c r="AI13" s="178">
        <f>Т!AI13</f>
        <v>7611.3110539845748</v>
      </c>
      <c r="AJ13" s="178">
        <f>Т!AJ13</f>
        <v>7611.3110539845748</v>
      </c>
      <c r="AK13" s="178">
        <f>Т!AK13</f>
        <v>17.849</v>
      </c>
      <c r="AL13" s="179"/>
      <c r="AM13" s="178">
        <f>Т!AM13</f>
        <v>20.829783000000003</v>
      </c>
      <c r="AN13" s="178">
        <f>Т!AN13</f>
        <v>158.54195759999999</v>
      </c>
      <c r="AO13" s="178">
        <f>Т!AO13</f>
        <v>158.54195759999999</v>
      </c>
      <c r="AP13" s="179"/>
      <c r="AQ13" s="179"/>
      <c r="AR13" s="178">
        <f>Т!AR13</f>
        <v>0</v>
      </c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8">
        <f>Т!BO13</f>
        <v>8852.6</v>
      </c>
      <c r="BP13" s="178">
        <f>Т!BP13</f>
        <v>8852.6</v>
      </c>
      <c r="BQ13" s="178">
        <f>Т!BQ13</f>
        <v>7631.5517241379321</v>
      </c>
      <c r="BR13" s="178">
        <f>Т!BR13</f>
        <v>7631.5517241379321</v>
      </c>
      <c r="BS13" s="178">
        <f>Т!BS13</f>
        <v>10.7</v>
      </c>
      <c r="BT13" s="179"/>
      <c r="BU13" s="178">
        <f>Т!BU13</f>
        <v>12.411999999999999</v>
      </c>
      <c r="BV13" s="178">
        <f>Т!BV13</f>
        <v>94.722819999999999</v>
      </c>
      <c r="BW13" s="178">
        <f>Т!BW13</f>
        <v>94.722819999999999</v>
      </c>
      <c r="BX13" s="179"/>
      <c r="BY13" s="179"/>
      <c r="BZ13" s="178">
        <f>Т!BZ13</f>
        <v>0</v>
      </c>
      <c r="CA13" s="179"/>
      <c r="CB13" s="179"/>
      <c r="CC13" s="179"/>
      <c r="CD13" s="179"/>
      <c r="CE13" s="179"/>
      <c r="CF13" s="179"/>
      <c r="CG13" s="179"/>
      <c r="CH13" s="179"/>
      <c r="CI13" s="179"/>
      <c r="CJ13" s="179"/>
      <c r="CK13" s="179"/>
      <c r="CL13" s="179"/>
      <c r="CM13" s="179"/>
      <c r="CN13" s="179"/>
      <c r="CO13" s="179"/>
      <c r="CP13" s="179"/>
      <c r="CQ13" s="179"/>
      <c r="CR13" s="179"/>
      <c r="CS13" s="179"/>
      <c r="CT13" s="179"/>
      <c r="CU13" s="179"/>
      <c r="CV13" s="179"/>
      <c r="CW13" s="178">
        <f>Т!CW13</f>
        <v>8852.5999999999985</v>
      </c>
      <c r="CX13" s="178">
        <f>Т!CX13</f>
        <v>8852.5999999999985</v>
      </c>
      <c r="CY13" s="178">
        <f>Т!CY13</f>
        <v>7607.2871014866378</v>
      </c>
      <c r="CZ13" s="178">
        <f>Т!CZ13</f>
        <v>7607.2871014866378</v>
      </c>
      <c r="DA13" s="178">
        <f>Т!DA13</f>
        <v>10.696</v>
      </c>
      <c r="DB13" s="179"/>
      <c r="DC13" s="178">
        <f>Т!DC13</f>
        <v>12.446935199999999</v>
      </c>
      <c r="DD13" s="178">
        <f>Т!DD13</f>
        <v>94.687409599999995</v>
      </c>
      <c r="DE13" s="178">
        <f>Т!DE13</f>
        <v>94.687409599999995</v>
      </c>
      <c r="DF13" s="179"/>
      <c r="DG13" s="179"/>
      <c r="DH13" s="178">
        <f>Т!DH13</f>
        <v>0</v>
      </c>
      <c r="DI13" s="179"/>
      <c r="DJ13" s="179"/>
      <c r="DK13" s="179"/>
      <c r="DL13" s="179"/>
      <c r="DM13" s="179"/>
      <c r="DN13" s="179"/>
      <c r="DO13" s="179"/>
      <c r="DP13" s="179"/>
      <c r="DQ13" s="179"/>
      <c r="DR13" s="179"/>
      <c r="DS13" s="179"/>
      <c r="DT13" s="179"/>
      <c r="DU13" s="179"/>
      <c r="DV13" s="179"/>
      <c r="DW13" s="179"/>
      <c r="DX13" s="179"/>
      <c r="DY13" s="179"/>
      <c r="DZ13" s="179"/>
      <c r="EA13" s="179"/>
      <c r="EB13" s="179"/>
      <c r="EC13" s="179"/>
      <c r="ED13" s="179"/>
      <c r="EE13" s="178">
        <f>Т!EE13</f>
        <v>8852.5999999999985</v>
      </c>
      <c r="EF13" s="178">
        <f>Т!EF13</f>
        <v>8852.5999999999985</v>
      </c>
      <c r="EG13" s="178">
        <f>Т!EG13</f>
        <v>7611.2114177628746</v>
      </c>
      <c r="EH13" s="178">
        <f>Т!EH13</f>
        <v>7611.2114177628746</v>
      </c>
      <c r="EI13" s="178">
        <f>Т!EI13</f>
        <v>10.696</v>
      </c>
      <c r="EJ13" s="179"/>
      <c r="EK13" s="178">
        <f>Т!EK13</f>
        <v>12.4405176</v>
      </c>
      <c r="EL13" s="178">
        <f>Т!EL13</f>
        <v>94.687409599999995</v>
      </c>
      <c r="EM13" s="178">
        <f>Т!EM13</f>
        <v>94.687409599999995</v>
      </c>
      <c r="EN13" s="179"/>
      <c r="EO13" s="179"/>
      <c r="EP13" s="178">
        <f>Т!EP13</f>
        <v>0</v>
      </c>
      <c r="EQ13" s="179"/>
      <c r="ER13" s="179"/>
      <c r="ES13" s="179"/>
      <c r="ET13" s="179"/>
      <c r="EU13" s="179"/>
      <c r="EV13" s="179"/>
      <c r="EW13" s="179"/>
      <c r="EX13" s="179"/>
      <c r="EY13" s="179"/>
      <c r="EZ13" s="179"/>
      <c r="FA13" s="179"/>
      <c r="FB13" s="179"/>
      <c r="FC13" s="179"/>
      <c r="FD13" s="179"/>
      <c r="FE13" s="179"/>
      <c r="FF13" s="179"/>
      <c r="FG13" s="179"/>
      <c r="FH13" s="179"/>
      <c r="FI13" s="179"/>
      <c r="FJ13" s="179"/>
      <c r="FK13" s="229"/>
      <c r="FL13" s="176"/>
      <c r="FM13" s="176"/>
      <c r="FN13" s="176"/>
      <c r="FO13" s="371"/>
      <c r="FP13" s="372" t="str">
        <f>IF(PLAN_201X!$B3="2",IF(PLAN_201X!$H3="","",PLAN_201X!$H3),"")</f>
        <v/>
      </c>
      <c r="FQ13" s="372" t="str">
        <f>IF(PLAN_201X!$B3="2",IF(PLAN_201X!$I3="","",PLAN_201X!$I3),"")</f>
        <v/>
      </c>
      <c r="FR13" s="372" t="str">
        <f>IF(PLAN_201X!$B3="2",IF(PLAN_201X!$J3="","",PLAN_201X!$J3),"")</f>
        <v/>
      </c>
      <c r="FS13" s="171"/>
      <c r="FT13" s="453"/>
      <c r="FU13" s="227" t="s">
        <v>1651</v>
      </c>
      <c r="FV13" s="230">
        <f>SUMIF(PLAN_201X!$B$2:$B$19,PLAN_201X!$B3,PLAN_201X!C$2:C$19)</f>
        <v>4987.6099999999997</v>
      </c>
      <c r="FW13" s="230">
        <f>SUMIF(PLAN_201X!$B$2:$B$19,PLAN_201X!$B3,PLAN_201X!D$2:D$19)</f>
        <v>10751.69</v>
      </c>
      <c r="FX13" s="230">
        <f>SUMIF(PLAN_201X!$B$2:$B$19,PLAN_201X!$B3,PLAN_201X!E$2:E$19)</f>
        <v>53625.19</v>
      </c>
      <c r="FY13" s="83"/>
      <c r="FZ13" s="59"/>
    </row>
    <row r="14" spans="5:182" s="58" customFormat="1" ht="12" customHeight="1">
      <c r="F14" s="59"/>
      <c r="G14" s="59"/>
      <c r="H14" s="59"/>
      <c r="I14" s="82"/>
      <c r="J14" s="82"/>
      <c r="K14" s="82"/>
      <c r="L14" s="59"/>
      <c r="M14" s="59"/>
      <c r="N14" s="59"/>
      <c r="O14" s="465"/>
      <c r="P14" s="335" t="s">
        <v>1652</v>
      </c>
      <c r="Q14" s="175">
        <f>SUMIF(PLAN_201X!$B$2:$B$19,PLAN_201X!$B4,PLAN_201X!C$2:C$19)</f>
        <v>0</v>
      </c>
      <c r="R14" s="175">
        <f>SUMIF(PLAN_201X!$B$2:$B$19,PLAN_201X!$B4,PLAN_201X!D$2:D$19)</f>
        <v>0</v>
      </c>
      <c r="S14" s="175">
        <f>SUMIF(PLAN_201X!$B$2:$B$19,PLAN_201X!$B4,PLAN_201X!E$2:E$19)</f>
        <v>0</v>
      </c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7" t="str">
        <f t="shared" si="0"/>
        <v xml:space="preserve"> :: ACTI</v>
      </c>
      <c r="AE14" s="179"/>
      <c r="AF14" s="179"/>
      <c r="AG14" s="178">
        <f>Т!AG14</f>
        <v>0</v>
      </c>
      <c r="AH14" s="178">
        <f>Т!AH14</f>
        <v>0</v>
      </c>
      <c r="AI14" s="178">
        <f>Т!AI14</f>
        <v>0</v>
      </c>
      <c r="AJ14" s="178">
        <f>Т!AJ14</f>
        <v>0</v>
      </c>
      <c r="AK14" s="178">
        <f>Т!AK14</f>
        <v>0</v>
      </c>
      <c r="AL14" s="179"/>
      <c r="AM14" s="178">
        <f>Т!AM14</f>
        <v>0</v>
      </c>
      <c r="AN14" s="178">
        <f>Т!AN14</f>
        <v>0</v>
      </c>
      <c r="AO14" s="178">
        <f>Т!AO14</f>
        <v>0</v>
      </c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8">
        <f>Т!BO14</f>
        <v>0</v>
      </c>
      <c r="BP14" s="178">
        <f>Т!BP14</f>
        <v>0</v>
      </c>
      <c r="BQ14" s="178">
        <f>Т!BQ14</f>
        <v>0</v>
      </c>
      <c r="BR14" s="178">
        <f>Т!BR14</f>
        <v>0</v>
      </c>
      <c r="BS14" s="178">
        <f>Т!BS14</f>
        <v>0</v>
      </c>
      <c r="BT14" s="179"/>
      <c r="BU14" s="178">
        <f>Т!BU14</f>
        <v>0</v>
      </c>
      <c r="BV14" s="178">
        <f>Т!BV14</f>
        <v>0</v>
      </c>
      <c r="BW14" s="178">
        <f>Т!BW14</f>
        <v>0</v>
      </c>
      <c r="BX14" s="179"/>
      <c r="BY14" s="179"/>
      <c r="BZ14" s="179"/>
      <c r="CA14" s="179"/>
      <c r="CB14" s="179"/>
      <c r="CC14" s="179"/>
      <c r="CD14" s="179"/>
      <c r="CE14" s="179"/>
      <c r="CF14" s="179"/>
      <c r="CG14" s="179"/>
      <c r="CH14" s="179"/>
      <c r="CI14" s="179"/>
      <c r="CJ14" s="179"/>
      <c r="CK14" s="179"/>
      <c r="CL14" s="179"/>
      <c r="CM14" s="179"/>
      <c r="CN14" s="179"/>
      <c r="CO14" s="179"/>
      <c r="CP14" s="179"/>
      <c r="CQ14" s="179"/>
      <c r="CR14" s="179"/>
      <c r="CS14" s="179"/>
      <c r="CT14" s="179"/>
      <c r="CU14" s="179"/>
      <c r="CV14" s="179"/>
      <c r="CW14" s="178">
        <f>Т!CW14</f>
        <v>0</v>
      </c>
      <c r="CX14" s="178">
        <f>Т!CX14</f>
        <v>0</v>
      </c>
      <c r="CY14" s="178">
        <f>Т!CY14</f>
        <v>0</v>
      </c>
      <c r="CZ14" s="178">
        <f>Т!CZ14</f>
        <v>0</v>
      </c>
      <c r="DA14" s="178">
        <f>Т!DA14</f>
        <v>0</v>
      </c>
      <c r="DB14" s="179"/>
      <c r="DC14" s="178">
        <f>Т!DC14</f>
        <v>0</v>
      </c>
      <c r="DD14" s="178">
        <f>Т!DD14</f>
        <v>0</v>
      </c>
      <c r="DE14" s="178">
        <f>Т!DE14</f>
        <v>0</v>
      </c>
      <c r="DF14" s="179"/>
      <c r="DG14" s="179"/>
      <c r="DH14" s="179"/>
      <c r="DI14" s="179"/>
      <c r="DJ14" s="179"/>
      <c r="DK14" s="179"/>
      <c r="DL14" s="179"/>
      <c r="DM14" s="179"/>
      <c r="DN14" s="179"/>
      <c r="DO14" s="179"/>
      <c r="DP14" s="179"/>
      <c r="DQ14" s="179"/>
      <c r="DR14" s="179"/>
      <c r="DS14" s="179"/>
      <c r="DT14" s="179"/>
      <c r="DU14" s="179"/>
      <c r="DV14" s="179"/>
      <c r="DW14" s="179"/>
      <c r="DX14" s="179"/>
      <c r="DY14" s="179"/>
      <c r="DZ14" s="179"/>
      <c r="EA14" s="179"/>
      <c r="EB14" s="179"/>
      <c r="EC14" s="179"/>
      <c r="ED14" s="179"/>
      <c r="EE14" s="178">
        <f>Т!EE14</f>
        <v>0</v>
      </c>
      <c r="EF14" s="178">
        <f>Т!EF14</f>
        <v>0</v>
      </c>
      <c r="EG14" s="178">
        <f>Т!EG14</f>
        <v>0</v>
      </c>
      <c r="EH14" s="178">
        <f>Т!EH14</f>
        <v>0</v>
      </c>
      <c r="EI14" s="178">
        <f>Т!EI14</f>
        <v>0</v>
      </c>
      <c r="EJ14" s="179"/>
      <c r="EK14" s="178">
        <f>Т!EK14</f>
        <v>0</v>
      </c>
      <c r="EL14" s="178">
        <f>Т!EL14</f>
        <v>0</v>
      </c>
      <c r="EM14" s="178">
        <f>Т!EM14</f>
        <v>0</v>
      </c>
      <c r="EN14" s="179"/>
      <c r="EO14" s="179"/>
      <c r="EP14" s="179"/>
      <c r="EQ14" s="179"/>
      <c r="ER14" s="179"/>
      <c r="ES14" s="179"/>
      <c r="ET14" s="179"/>
      <c r="EU14" s="179"/>
      <c r="EV14" s="179"/>
      <c r="EW14" s="179"/>
      <c r="EX14" s="179"/>
      <c r="EY14" s="179"/>
      <c r="EZ14" s="179"/>
      <c r="FA14" s="179"/>
      <c r="FB14" s="179"/>
      <c r="FC14" s="179"/>
      <c r="FD14" s="179"/>
      <c r="FE14" s="179"/>
      <c r="FF14" s="179"/>
      <c r="FG14" s="179"/>
      <c r="FH14" s="179"/>
      <c r="FI14" s="179"/>
      <c r="FJ14" s="179"/>
      <c r="FK14" s="229"/>
      <c r="FL14" s="176"/>
      <c r="FM14" s="176"/>
      <c r="FN14" s="176"/>
      <c r="FO14" s="371"/>
      <c r="FP14" s="372" t="str">
        <f>IF(PLAN_201X!$B4="3",IF(PLAN_201X!$H4="","",PLAN_201X!$H4),"")</f>
        <v/>
      </c>
      <c r="FQ14" s="372" t="str">
        <f>IF(PLAN_201X!$B4="3",IF(PLAN_201X!$I4="","",PLAN_201X!$I4),"")</f>
        <v/>
      </c>
      <c r="FR14" s="372" t="str">
        <f>IF(PLAN_201X!$B4="3",IF(PLAN_201X!$J4="","",PLAN_201X!$J4),"")</f>
        <v/>
      </c>
      <c r="FS14" s="171"/>
      <c r="FT14" s="453"/>
      <c r="FU14" s="227" t="s">
        <v>1652</v>
      </c>
      <c r="FV14" s="230">
        <f>SUMIF(PLAN_201X!$B$2:$B$19,PLAN_201X!$B4,PLAN_201X!C$2:C$19)</f>
        <v>0</v>
      </c>
      <c r="FW14" s="230">
        <f>SUMIF(PLAN_201X!$B$2:$B$19,PLAN_201X!$B4,PLAN_201X!D$2:D$19)</f>
        <v>0</v>
      </c>
      <c r="FX14" s="230">
        <f>SUMIF(PLAN_201X!$B$2:$B$19,PLAN_201X!$B4,PLAN_201X!E$2:E$19)</f>
        <v>0</v>
      </c>
      <c r="FY14" s="83"/>
      <c r="FZ14" s="59"/>
    </row>
    <row r="15" spans="5:182" s="58" customFormat="1" ht="12" customHeight="1">
      <c r="F15" s="59"/>
      <c r="G15" s="59"/>
      <c r="H15" s="59"/>
      <c r="I15" s="82"/>
      <c r="J15" s="82"/>
      <c r="K15" s="82"/>
      <c r="L15" s="59"/>
      <c r="M15" s="59"/>
      <c r="N15" s="59"/>
      <c r="O15" s="336" t="s">
        <v>1741</v>
      </c>
      <c r="P15" s="337" t="str">
        <f t="shared" ref="P15:P20" si="1">O15</f>
        <v>Газовый конденсат</v>
      </c>
      <c r="Q15" s="175">
        <f>SUMIF(PLAN_201X!$B$2:$B$19,PLAN_201X!$B5,PLAN_201X!C$2:C$19)</f>
        <v>0</v>
      </c>
      <c r="R15" s="175">
        <f>SUMIF(PLAN_201X!$B$2:$B$19,PLAN_201X!$B5,PLAN_201X!D$2:D$19)</f>
        <v>0</v>
      </c>
      <c r="S15" s="175">
        <f>SUMIF(PLAN_201X!$B$2:$B$19,PLAN_201X!$B5,PLAN_201X!E$2:E$19)</f>
        <v>0</v>
      </c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7" t="str">
        <f t="shared" si="0"/>
        <v xml:space="preserve"> :: ACTI</v>
      </c>
      <c r="AE15" s="178">
        <f>Т!AE15</f>
        <v>0</v>
      </c>
      <c r="AF15" s="178">
        <f>Т!AF15</f>
        <v>0</v>
      </c>
      <c r="AG15" s="178">
        <f>Т!AG15</f>
        <v>0</v>
      </c>
      <c r="AH15" s="178">
        <f>Т!AH15</f>
        <v>0</v>
      </c>
      <c r="AI15" s="178">
        <f>Т!AI15</f>
        <v>0</v>
      </c>
      <c r="AJ15" s="178">
        <f>Т!AJ15</f>
        <v>0</v>
      </c>
      <c r="AK15" s="178">
        <f>Т!AK15</f>
        <v>0</v>
      </c>
      <c r="AL15" s="179"/>
      <c r="AM15" s="178">
        <f>Т!AM15</f>
        <v>0</v>
      </c>
      <c r="AN15" s="178">
        <f>Т!AN15</f>
        <v>0</v>
      </c>
      <c r="AO15" s="178">
        <f>Т!AO15</f>
        <v>0</v>
      </c>
      <c r="AP15" s="179"/>
      <c r="AQ15" s="179"/>
      <c r="AR15" s="179"/>
      <c r="AS15" s="178">
        <f>Т!AS15</f>
        <v>0</v>
      </c>
      <c r="AT15" s="178">
        <f>Т!AT15</f>
        <v>0</v>
      </c>
      <c r="AU15" s="178">
        <f>Т!AU15</f>
        <v>0</v>
      </c>
      <c r="AV15" s="178">
        <f>Т!AV15</f>
        <v>0</v>
      </c>
      <c r="AW15" s="178">
        <f>Т!AW15</f>
        <v>0</v>
      </c>
      <c r="AX15" s="178">
        <f>Т!AX15</f>
        <v>0</v>
      </c>
      <c r="AY15" s="178">
        <f>Т!AY15</f>
        <v>0</v>
      </c>
      <c r="AZ15" s="178">
        <f>Т!AZ15</f>
        <v>0</v>
      </c>
      <c r="BA15" s="178">
        <f>Т!BA15</f>
        <v>0</v>
      </c>
      <c r="BB15" s="178">
        <f>Т!BB15</f>
        <v>0</v>
      </c>
      <c r="BC15" s="178">
        <f>Т!BC15</f>
        <v>0</v>
      </c>
      <c r="BD15" s="178">
        <f>Т!BD15</f>
        <v>0</v>
      </c>
      <c r="BE15" s="178">
        <f>Т!BE15</f>
        <v>0</v>
      </c>
      <c r="BF15" s="178">
        <f>Т!BF15</f>
        <v>0</v>
      </c>
      <c r="BG15" s="178">
        <f>Т!BG15</f>
        <v>0</v>
      </c>
      <c r="BH15" s="179"/>
      <c r="BI15" s="179"/>
      <c r="BJ15" s="179"/>
      <c r="BK15" s="179"/>
      <c r="BL15" s="179"/>
      <c r="BM15" s="178">
        <f>Т!BM15</f>
        <v>0</v>
      </c>
      <c r="BN15" s="178">
        <f>Т!BN15</f>
        <v>0</v>
      </c>
      <c r="BO15" s="178">
        <f>Т!BO15</f>
        <v>0</v>
      </c>
      <c r="BP15" s="178">
        <f>Т!BP15</f>
        <v>0</v>
      </c>
      <c r="BQ15" s="178">
        <f>Т!BQ15</f>
        <v>0</v>
      </c>
      <c r="BR15" s="178">
        <f>Т!BR15</f>
        <v>0</v>
      </c>
      <c r="BS15" s="178">
        <f>Т!BS15</f>
        <v>0</v>
      </c>
      <c r="BT15" s="179"/>
      <c r="BU15" s="178">
        <f>Т!BU15</f>
        <v>0</v>
      </c>
      <c r="BV15" s="178">
        <f>Т!BV15</f>
        <v>0</v>
      </c>
      <c r="BW15" s="178">
        <f>Т!BW15</f>
        <v>0</v>
      </c>
      <c r="BX15" s="179"/>
      <c r="BY15" s="179"/>
      <c r="BZ15" s="179"/>
      <c r="CA15" s="178">
        <f>Т!CA15</f>
        <v>0</v>
      </c>
      <c r="CB15" s="178">
        <f>Т!CB15</f>
        <v>0</v>
      </c>
      <c r="CC15" s="178">
        <f>Т!CC15</f>
        <v>0</v>
      </c>
      <c r="CD15" s="178">
        <f>Т!CD15</f>
        <v>0</v>
      </c>
      <c r="CE15" s="178">
        <f>Т!CE15</f>
        <v>0</v>
      </c>
      <c r="CF15" s="178">
        <f>Т!CF15</f>
        <v>0</v>
      </c>
      <c r="CG15" s="178">
        <f>Т!CG15</f>
        <v>0</v>
      </c>
      <c r="CH15" s="178">
        <f>Т!CH15</f>
        <v>0</v>
      </c>
      <c r="CI15" s="178">
        <f>Т!CI15</f>
        <v>0</v>
      </c>
      <c r="CJ15" s="178">
        <f>Т!CJ15</f>
        <v>0</v>
      </c>
      <c r="CK15" s="178">
        <f>Т!CK15</f>
        <v>0</v>
      </c>
      <c r="CL15" s="178">
        <f>Т!CL15</f>
        <v>0</v>
      </c>
      <c r="CM15" s="178">
        <f>Т!CM15</f>
        <v>0</v>
      </c>
      <c r="CN15" s="178">
        <f>Т!CN15</f>
        <v>0</v>
      </c>
      <c r="CO15" s="178">
        <f>Т!CO15</f>
        <v>0</v>
      </c>
      <c r="CP15" s="179"/>
      <c r="CQ15" s="179"/>
      <c r="CR15" s="179"/>
      <c r="CS15" s="179"/>
      <c r="CT15" s="179"/>
      <c r="CU15" s="178">
        <f>Т!CU15</f>
        <v>0</v>
      </c>
      <c r="CV15" s="178">
        <f>Т!CV15</f>
        <v>0</v>
      </c>
      <c r="CW15" s="178">
        <f>Т!CW15</f>
        <v>0</v>
      </c>
      <c r="CX15" s="178">
        <f>Т!CX15</f>
        <v>0</v>
      </c>
      <c r="CY15" s="178">
        <f>Т!CY15</f>
        <v>0</v>
      </c>
      <c r="CZ15" s="178">
        <f>Т!CZ15</f>
        <v>0</v>
      </c>
      <c r="DA15" s="178">
        <f>Т!DA15</f>
        <v>0</v>
      </c>
      <c r="DB15" s="179"/>
      <c r="DC15" s="178">
        <f>Т!DC15</f>
        <v>0</v>
      </c>
      <c r="DD15" s="178">
        <f>Т!DD15</f>
        <v>0</v>
      </c>
      <c r="DE15" s="178">
        <f>Т!DE15</f>
        <v>0</v>
      </c>
      <c r="DF15" s="179"/>
      <c r="DG15" s="179"/>
      <c r="DH15" s="179"/>
      <c r="DI15" s="178">
        <f>Т!DI15</f>
        <v>0</v>
      </c>
      <c r="DJ15" s="178">
        <f>Т!DJ15</f>
        <v>0</v>
      </c>
      <c r="DK15" s="178">
        <f>Т!DK15</f>
        <v>0</v>
      </c>
      <c r="DL15" s="178">
        <f>Т!DL15</f>
        <v>0</v>
      </c>
      <c r="DM15" s="178">
        <f>Т!DM15</f>
        <v>0</v>
      </c>
      <c r="DN15" s="178">
        <f>Т!DN15</f>
        <v>0</v>
      </c>
      <c r="DO15" s="178">
        <f>Т!DO15</f>
        <v>0</v>
      </c>
      <c r="DP15" s="178">
        <f>Т!DP15</f>
        <v>0</v>
      </c>
      <c r="DQ15" s="178">
        <f>Т!DQ15</f>
        <v>0</v>
      </c>
      <c r="DR15" s="178">
        <f>Т!DR15</f>
        <v>0</v>
      </c>
      <c r="DS15" s="178">
        <f>Т!DS15</f>
        <v>0</v>
      </c>
      <c r="DT15" s="178">
        <f>Т!DT15</f>
        <v>0</v>
      </c>
      <c r="DU15" s="178">
        <f>Т!DU15</f>
        <v>0</v>
      </c>
      <c r="DV15" s="178">
        <f>Т!DV15</f>
        <v>0</v>
      </c>
      <c r="DW15" s="178">
        <f>Т!DW15</f>
        <v>0</v>
      </c>
      <c r="DX15" s="179"/>
      <c r="DY15" s="179"/>
      <c r="DZ15" s="179"/>
      <c r="EA15" s="179"/>
      <c r="EB15" s="179"/>
      <c r="EC15" s="178">
        <f>Т!EC15</f>
        <v>0</v>
      </c>
      <c r="ED15" s="178">
        <f>Т!ED15</f>
        <v>0</v>
      </c>
      <c r="EE15" s="178">
        <f>Т!EE15</f>
        <v>0</v>
      </c>
      <c r="EF15" s="178">
        <f>Т!EF15</f>
        <v>0</v>
      </c>
      <c r="EG15" s="178">
        <f>Т!EG15</f>
        <v>0</v>
      </c>
      <c r="EH15" s="178">
        <f>Т!EH15</f>
        <v>0</v>
      </c>
      <c r="EI15" s="178">
        <f>Т!EI15</f>
        <v>0</v>
      </c>
      <c r="EJ15" s="179"/>
      <c r="EK15" s="178">
        <f>Т!EK15</f>
        <v>0</v>
      </c>
      <c r="EL15" s="178">
        <f>Т!EL15</f>
        <v>0</v>
      </c>
      <c r="EM15" s="178">
        <f>Т!EM15</f>
        <v>0</v>
      </c>
      <c r="EN15" s="179"/>
      <c r="EO15" s="179"/>
      <c r="EP15" s="179"/>
      <c r="EQ15" s="178">
        <f>Т!EQ15</f>
        <v>0</v>
      </c>
      <c r="ER15" s="178">
        <f>Т!ER15</f>
        <v>0</v>
      </c>
      <c r="ES15" s="178">
        <f>Т!ES15</f>
        <v>0</v>
      </c>
      <c r="ET15" s="178">
        <f>Т!ET15</f>
        <v>0</v>
      </c>
      <c r="EU15" s="178">
        <f>Т!EU15</f>
        <v>0</v>
      </c>
      <c r="EV15" s="178">
        <f>Т!EV15</f>
        <v>0</v>
      </c>
      <c r="EW15" s="178">
        <f>Т!EW15</f>
        <v>0</v>
      </c>
      <c r="EX15" s="178">
        <f>Т!EX15</f>
        <v>0</v>
      </c>
      <c r="EY15" s="178">
        <f>Т!EY15</f>
        <v>0</v>
      </c>
      <c r="EZ15" s="178">
        <f>Т!EZ15</f>
        <v>0</v>
      </c>
      <c r="FA15" s="178">
        <f>Т!FA15</f>
        <v>0</v>
      </c>
      <c r="FB15" s="178">
        <f>Т!FB15</f>
        <v>0</v>
      </c>
      <c r="FC15" s="178">
        <f>Т!FC15</f>
        <v>0</v>
      </c>
      <c r="FD15" s="178">
        <f>Т!FD15</f>
        <v>0</v>
      </c>
      <c r="FE15" s="178">
        <f>Т!FE15</f>
        <v>0</v>
      </c>
      <c r="FF15" s="179"/>
      <c r="FG15" s="179"/>
      <c r="FH15" s="179"/>
      <c r="FI15" s="179"/>
      <c r="FJ15" s="179"/>
      <c r="FK15" s="229"/>
      <c r="FL15" s="176"/>
      <c r="FM15" s="176"/>
      <c r="FN15" s="176"/>
      <c r="FO15" s="371"/>
      <c r="FP15" s="372" t="str">
        <f>IF(PLAN_201X!$B5="4",IF(PLAN_201X!$H5="","",PLAN_201X!$H5),"")</f>
        <v/>
      </c>
      <c r="FQ15" s="372" t="str">
        <f>IF(PLAN_201X!$B5="4",IF(PLAN_201X!$I5="","",PLAN_201X!$I5),"")</f>
        <v/>
      </c>
      <c r="FR15" s="372" t="str">
        <f>IF(PLAN_201X!$B5="4",IF(PLAN_201X!$J5="","",PLAN_201X!$J5),"")</f>
        <v/>
      </c>
      <c r="FS15" s="171"/>
      <c r="FT15" s="221" t="s">
        <v>1741</v>
      </c>
      <c r="FU15" s="221" t="str">
        <f t="shared" ref="FU15:FU20" si="2">FT15</f>
        <v>Газовый конденсат</v>
      </c>
      <c r="FV15" s="230">
        <f>SUMIF(PLAN_201X!$B$2:$B$19,PLAN_201X!$B5,PLAN_201X!C$2:C$19)</f>
        <v>0</v>
      </c>
      <c r="FW15" s="230">
        <f>SUMIF(PLAN_201X!$B$2:$B$19,PLAN_201X!$B5,PLAN_201X!D$2:D$19)</f>
        <v>0</v>
      </c>
      <c r="FX15" s="230">
        <f>SUMIF(PLAN_201X!$B$2:$B$19,PLAN_201X!$B5,PLAN_201X!E$2:E$19)</f>
        <v>0</v>
      </c>
      <c r="FY15" s="83"/>
      <c r="FZ15" s="59"/>
    </row>
    <row r="16" spans="5:182" s="58" customFormat="1" ht="12" customHeight="1">
      <c r="F16" s="59"/>
      <c r="G16" s="59"/>
      <c r="H16" s="59"/>
      <c r="I16" s="82"/>
      <c r="J16" s="82"/>
      <c r="K16" s="82"/>
      <c r="L16" s="59"/>
      <c r="M16" s="59"/>
      <c r="N16" s="59"/>
      <c r="O16" s="336" t="s">
        <v>1525</v>
      </c>
      <c r="P16" s="337" t="str">
        <f t="shared" si="1"/>
        <v>Газ сжиженный</v>
      </c>
      <c r="Q16" s="175">
        <f>SUMIF(PLAN_201X!$B$2:$B$19,PLAN_201X!$B6,PLAN_201X!C$2:C$19)</f>
        <v>0</v>
      </c>
      <c r="R16" s="175">
        <f>SUMIF(PLAN_201X!$B$2:$B$19,PLAN_201X!$B6,PLAN_201X!D$2:D$19)</f>
        <v>0</v>
      </c>
      <c r="S16" s="175">
        <f>SUMIF(PLAN_201X!$B$2:$B$19,PLAN_201X!$B6,PLAN_201X!E$2:E$19)</f>
        <v>0</v>
      </c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7" t="str">
        <f t="shared" si="0"/>
        <v xml:space="preserve"> :: ACTI</v>
      </c>
      <c r="AE16" s="178">
        <f>Т!AE16</f>
        <v>0</v>
      </c>
      <c r="AF16" s="178">
        <f>Т!AF16</f>
        <v>0</v>
      </c>
      <c r="AG16" s="178">
        <f>Т!AG16</f>
        <v>0</v>
      </c>
      <c r="AH16" s="178">
        <f>Т!AH16</f>
        <v>0</v>
      </c>
      <c r="AI16" s="178">
        <f>Т!AI16</f>
        <v>0</v>
      </c>
      <c r="AJ16" s="178">
        <f>Т!AJ16</f>
        <v>0</v>
      </c>
      <c r="AK16" s="178">
        <f>Т!AK16</f>
        <v>0</v>
      </c>
      <c r="AL16" s="179"/>
      <c r="AM16" s="178">
        <f>Т!AM16</f>
        <v>0</v>
      </c>
      <c r="AN16" s="178">
        <f>Т!AN16</f>
        <v>0</v>
      </c>
      <c r="AO16" s="178">
        <f>Т!AO16</f>
        <v>0</v>
      </c>
      <c r="AP16" s="179"/>
      <c r="AQ16" s="179"/>
      <c r="AR16" s="179"/>
      <c r="AS16" s="178">
        <f>Т!AS16</f>
        <v>0</v>
      </c>
      <c r="AT16" s="178">
        <f>Т!AT16</f>
        <v>0</v>
      </c>
      <c r="AU16" s="178">
        <f>Т!AU16</f>
        <v>0</v>
      </c>
      <c r="AV16" s="178">
        <f>Т!AV16</f>
        <v>0</v>
      </c>
      <c r="AW16" s="178">
        <f>Т!AW16</f>
        <v>0</v>
      </c>
      <c r="AX16" s="178">
        <f>Т!AX16</f>
        <v>0</v>
      </c>
      <c r="AY16" s="178">
        <f>Т!AY16</f>
        <v>0</v>
      </c>
      <c r="AZ16" s="178">
        <f>Т!AZ16</f>
        <v>0</v>
      </c>
      <c r="BA16" s="178">
        <f>Т!BA16</f>
        <v>0</v>
      </c>
      <c r="BB16" s="178">
        <f>Т!BB16</f>
        <v>0</v>
      </c>
      <c r="BC16" s="178">
        <f>Т!BC16</f>
        <v>0</v>
      </c>
      <c r="BD16" s="178">
        <f>Т!BD16</f>
        <v>0</v>
      </c>
      <c r="BE16" s="178">
        <f>Т!BE16</f>
        <v>0</v>
      </c>
      <c r="BF16" s="178">
        <f>Т!BF16</f>
        <v>0</v>
      </c>
      <c r="BG16" s="178">
        <f>Т!BG16</f>
        <v>0</v>
      </c>
      <c r="BH16" s="179"/>
      <c r="BI16" s="179"/>
      <c r="BJ16" s="179"/>
      <c r="BK16" s="179"/>
      <c r="BL16" s="179"/>
      <c r="BM16" s="178">
        <f>Т!BM16</f>
        <v>0</v>
      </c>
      <c r="BN16" s="178">
        <f>Т!BN16</f>
        <v>0</v>
      </c>
      <c r="BO16" s="178">
        <f>Т!BO16</f>
        <v>0</v>
      </c>
      <c r="BP16" s="178">
        <f>Т!BP16</f>
        <v>0</v>
      </c>
      <c r="BQ16" s="178">
        <f>Т!BQ16</f>
        <v>0</v>
      </c>
      <c r="BR16" s="178">
        <f>Т!BR16</f>
        <v>0</v>
      </c>
      <c r="BS16" s="178">
        <f>Т!BS16</f>
        <v>0</v>
      </c>
      <c r="BT16" s="179"/>
      <c r="BU16" s="178">
        <f>Т!BU16</f>
        <v>0</v>
      </c>
      <c r="BV16" s="178">
        <f>Т!BV16</f>
        <v>0</v>
      </c>
      <c r="BW16" s="178">
        <f>Т!BW16</f>
        <v>0</v>
      </c>
      <c r="BX16" s="179"/>
      <c r="BY16" s="179"/>
      <c r="BZ16" s="179"/>
      <c r="CA16" s="178">
        <f>Т!CA16</f>
        <v>0</v>
      </c>
      <c r="CB16" s="178">
        <f>Т!CB16</f>
        <v>0</v>
      </c>
      <c r="CC16" s="178">
        <f>Т!CC16</f>
        <v>0</v>
      </c>
      <c r="CD16" s="178">
        <f>Т!CD16</f>
        <v>0</v>
      </c>
      <c r="CE16" s="178">
        <f>Т!CE16</f>
        <v>0</v>
      </c>
      <c r="CF16" s="178">
        <f>Т!CF16</f>
        <v>0</v>
      </c>
      <c r="CG16" s="178">
        <f>Т!CG16</f>
        <v>0</v>
      </c>
      <c r="CH16" s="178">
        <f>Т!CH16</f>
        <v>0</v>
      </c>
      <c r="CI16" s="178">
        <f>Т!CI16</f>
        <v>0</v>
      </c>
      <c r="CJ16" s="178">
        <f>Т!CJ16</f>
        <v>0</v>
      </c>
      <c r="CK16" s="178">
        <f>Т!CK16</f>
        <v>0</v>
      </c>
      <c r="CL16" s="178">
        <f>Т!CL16</f>
        <v>0</v>
      </c>
      <c r="CM16" s="178">
        <f>Т!CM16</f>
        <v>0</v>
      </c>
      <c r="CN16" s="178">
        <f>Т!CN16</f>
        <v>0</v>
      </c>
      <c r="CO16" s="178">
        <f>Т!CO16</f>
        <v>0</v>
      </c>
      <c r="CP16" s="179"/>
      <c r="CQ16" s="179"/>
      <c r="CR16" s="179"/>
      <c r="CS16" s="179"/>
      <c r="CT16" s="179"/>
      <c r="CU16" s="178">
        <f>Т!CU16</f>
        <v>0</v>
      </c>
      <c r="CV16" s="178">
        <f>Т!CV16</f>
        <v>0</v>
      </c>
      <c r="CW16" s="178">
        <f>Т!CW16</f>
        <v>0</v>
      </c>
      <c r="CX16" s="178">
        <f>Т!CX16</f>
        <v>0</v>
      </c>
      <c r="CY16" s="178">
        <f>Т!CY16</f>
        <v>0</v>
      </c>
      <c r="CZ16" s="178">
        <f>Т!CZ16</f>
        <v>0</v>
      </c>
      <c r="DA16" s="178">
        <f>Т!DA16</f>
        <v>0</v>
      </c>
      <c r="DB16" s="179"/>
      <c r="DC16" s="178">
        <f>Т!DC16</f>
        <v>0</v>
      </c>
      <c r="DD16" s="178">
        <f>Т!DD16</f>
        <v>0</v>
      </c>
      <c r="DE16" s="178">
        <f>Т!DE16</f>
        <v>0</v>
      </c>
      <c r="DF16" s="179"/>
      <c r="DG16" s="179"/>
      <c r="DH16" s="179"/>
      <c r="DI16" s="178">
        <f>Т!DI16</f>
        <v>0</v>
      </c>
      <c r="DJ16" s="178">
        <f>Т!DJ16</f>
        <v>0</v>
      </c>
      <c r="DK16" s="178">
        <f>Т!DK16</f>
        <v>0</v>
      </c>
      <c r="DL16" s="178">
        <f>Т!DL16</f>
        <v>0</v>
      </c>
      <c r="DM16" s="178">
        <f>Т!DM16</f>
        <v>0</v>
      </c>
      <c r="DN16" s="178">
        <f>Т!DN16</f>
        <v>0</v>
      </c>
      <c r="DO16" s="178">
        <f>Т!DO16</f>
        <v>0</v>
      </c>
      <c r="DP16" s="178">
        <f>Т!DP16</f>
        <v>0</v>
      </c>
      <c r="DQ16" s="178">
        <f>Т!DQ16</f>
        <v>0</v>
      </c>
      <c r="DR16" s="178">
        <f>Т!DR16</f>
        <v>0</v>
      </c>
      <c r="DS16" s="178">
        <f>Т!DS16</f>
        <v>0</v>
      </c>
      <c r="DT16" s="178">
        <f>Т!DT16</f>
        <v>0</v>
      </c>
      <c r="DU16" s="178">
        <f>Т!DU16</f>
        <v>0</v>
      </c>
      <c r="DV16" s="178">
        <f>Т!DV16</f>
        <v>0</v>
      </c>
      <c r="DW16" s="178">
        <f>Т!DW16</f>
        <v>0</v>
      </c>
      <c r="DX16" s="179"/>
      <c r="DY16" s="179"/>
      <c r="DZ16" s="179"/>
      <c r="EA16" s="179"/>
      <c r="EB16" s="179"/>
      <c r="EC16" s="178">
        <f>Т!EC16</f>
        <v>0</v>
      </c>
      <c r="ED16" s="178">
        <f>Т!ED16</f>
        <v>0</v>
      </c>
      <c r="EE16" s="178">
        <f>Т!EE16</f>
        <v>0</v>
      </c>
      <c r="EF16" s="178">
        <f>Т!EF16</f>
        <v>0</v>
      </c>
      <c r="EG16" s="178">
        <f>Т!EG16</f>
        <v>0</v>
      </c>
      <c r="EH16" s="178">
        <f>Т!EH16</f>
        <v>0</v>
      </c>
      <c r="EI16" s="178">
        <f>Т!EI16</f>
        <v>0</v>
      </c>
      <c r="EJ16" s="179"/>
      <c r="EK16" s="178">
        <f>Т!EK16</f>
        <v>0</v>
      </c>
      <c r="EL16" s="178">
        <f>Т!EL16</f>
        <v>0</v>
      </c>
      <c r="EM16" s="178">
        <f>Т!EM16</f>
        <v>0</v>
      </c>
      <c r="EN16" s="179"/>
      <c r="EO16" s="179"/>
      <c r="EP16" s="179"/>
      <c r="EQ16" s="178">
        <f>Т!EQ16</f>
        <v>0</v>
      </c>
      <c r="ER16" s="178">
        <f>Т!ER16</f>
        <v>0</v>
      </c>
      <c r="ES16" s="178">
        <f>Т!ES16</f>
        <v>0</v>
      </c>
      <c r="ET16" s="178">
        <f>Т!ET16</f>
        <v>0</v>
      </c>
      <c r="EU16" s="178">
        <f>Т!EU16</f>
        <v>0</v>
      </c>
      <c r="EV16" s="178">
        <f>Т!EV16</f>
        <v>0</v>
      </c>
      <c r="EW16" s="178">
        <f>Т!EW16</f>
        <v>0</v>
      </c>
      <c r="EX16" s="178">
        <f>Т!EX16</f>
        <v>0</v>
      </c>
      <c r="EY16" s="178">
        <f>Т!EY16</f>
        <v>0</v>
      </c>
      <c r="EZ16" s="178">
        <f>Т!EZ16</f>
        <v>0</v>
      </c>
      <c r="FA16" s="178">
        <f>Т!FA16</f>
        <v>0</v>
      </c>
      <c r="FB16" s="178">
        <f>Т!FB16</f>
        <v>0</v>
      </c>
      <c r="FC16" s="178">
        <f>Т!FC16</f>
        <v>0</v>
      </c>
      <c r="FD16" s="178">
        <f>Т!FD16</f>
        <v>0</v>
      </c>
      <c r="FE16" s="178">
        <f>Т!FE16</f>
        <v>0</v>
      </c>
      <c r="FF16" s="179"/>
      <c r="FG16" s="179"/>
      <c r="FH16" s="179"/>
      <c r="FI16" s="179"/>
      <c r="FJ16" s="179"/>
      <c r="FK16" s="229"/>
      <c r="FL16" s="176"/>
      <c r="FM16" s="176"/>
      <c r="FN16" s="176"/>
      <c r="FO16" s="371"/>
      <c r="FP16" s="372" t="str">
        <f>IF(PLAN_201X!$B6="5",IF(PLAN_201X!$H6="","",PLAN_201X!$H6),"")</f>
        <v/>
      </c>
      <c r="FQ16" s="372" t="str">
        <f>IF(PLAN_201X!$B6="5",IF(PLAN_201X!$I6="","",PLAN_201X!$I6),"")</f>
        <v/>
      </c>
      <c r="FR16" s="372" t="str">
        <f>IF(PLAN_201X!$B6="5",IF(PLAN_201X!$J6="","",PLAN_201X!$J6),"")</f>
        <v/>
      </c>
      <c r="FS16" s="171"/>
      <c r="FT16" s="221" t="s">
        <v>1525</v>
      </c>
      <c r="FU16" s="221" t="str">
        <f t="shared" si="2"/>
        <v>Газ сжиженный</v>
      </c>
      <c r="FV16" s="230">
        <f>SUMIF(PLAN_201X!$B$2:$B$19,PLAN_201X!$B6,PLAN_201X!C$2:C$19)</f>
        <v>0</v>
      </c>
      <c r="FW16" s="230">
        <f>SUMIF(PLAN_201X!$B$2:$B$19,PLAN_201X!$B6,PLAN_201X!D$2:D$19)</f>
        <v>0</v>
      </c>
      <c r="FX16" s="230">
        <f>SUMIF(PLAN_201X!$B$2:$B$19,PLAN_201X!$B6,PLAN_201X!E$2:E$19)</f>
        <v>0</v>
      </c>
      <c r="FY16" s="83"/>
      <c r="FZ16" s="59"/>
    </row>
    <row r="17" spans="6:182" s="58" customFormat="1" ht="12" customHeight="1">
      <c r="F17" s="59"/>
      <c r="G17" s="59"/>
      <c r="H17" s="59"/>
      <c r="I17" s="82"/>
      <c r="J17" s="82"/>
      <c r="K17" s="82"/>
      <c r="L17" s="59"/>
      <c r="M17" s="59"/>
      <c r="N17" s="59"/>
      <c r="O17" s="336" t="s">
        <v>1580</v>
      </c>
      <c r="P17" s="337" t="str">
        <f t="shared" si="1"/>
        <v>Дизельное топливо</v>
      </c>
      <c r="Q17" s="175">
        <f>SUMIF(PLAN_201X!$B$2:$B$19,PLAN_201X!$B7,PLAN_201X!C$2:C$19)</f>
        <v>0</v>
      </c>
      <c r="R17" s="175">
        <f>SUMIF(PLAN_201X!$B$2:$B$19,PLAN_201X!$B7,PLAN_201X!D$2:D$19)</f>
        <v>0</v>
      </c>
      <c r="S17" s="175">
        <f>SUMIF(PLAN_201X!$B$2:$B$19,PLAN_201X!$B7,PLAN_201X!E$2:E$19)</f>
        <v>0</v>
      </c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7" t="str">
        <f t="shared" si="0"/>
        <v xml:space="preserve"> :: ACTI</v>
      </c>
      <c r="AE17" s="178">
        <f>Т!AE17</f>
        <v>0</v>
      </c>
      <c r="AF17" s="178">
        <f>Т!AF17</f>
        <v>0</v>
      </c>
      <c r="AG17" s="178">
        <f>Т!AG17</f>
        <v>0</v>
      </c>
      <c r="AH17" s="178">
        <f>Т!AH17</f>
        <v>0</v>
      </c>
      <c r="AI17" s="178">
        <f>Т!AI17</f>
        <v>0</v>
      </c>
      <c r="AJ17" s="178">
        <f>Т!AJ17</f>
        <v>0</v>
      </c>
      <c r="AK17" s="178">
        <f>Т!AK17</f>
        <v>0</v>
      </c>
      <c r="AL17" s="179"/>
      <c r="AM17" s="178">
        <f>Т!AM17</f>
        <v>0</v>
      </c>
      <c r="AN17" s="178">
        <f>Т!AN17</f>
        <v>0</v>
      </c>
      <c r="AO17" s="178">
        <f>Т!AO17</f>
        <v>0</v>
      </c>
      <c r="AP17" s="179"/>
      <c r="AQ17" s="179"/>
      <c r="AR17" s="179"/>
      <c r="AS17" s="178">
        <f>Т!AS17</f>
        <v>0</v>
      </c>
      <c r="AT17" s="178">
        <f>Т!AT17</f>
        <v>0</v>
      </c>
      <c r="AU17" s="178">
        <f>Т!AU17</f>
        <v>0</v>
      </c>
      <c r="AV17" s="178">
        <f>Т!AV17</f>
        <v>0</v>
      </c>
      <c r="AW17" s="178">
        <f>Т!AW17</f>
        <v>0</v>
      </c>
      <c r="AX17" s="178">
        <f>Т!AX17</f>
        <v>0</v>
      </c>
      <c r="AY17" s="178">
        <f>Т!AY17</f>
        <v>0</v>
      </c>
      <c r="AZ17" s="178">
        <f>Т!AZ17</f>
        <v>0</v>
      </c>
      <c r="BA17" s="178">
        <f>Т!BA17</f>
        <v>0</v>
      </c>
      <c r="BB17" s="178">
        <f>Т!BB17</f>
        <v>0</v>
      </c>
      <c r="BC17" s="178">
        <f>Т!BC17</f>
        <v>0</v>
      </c>
      <c r="BD17" s="178">
        <f>Т!BD17</f>
        <v>0</v>
      </c>
      <c r="BE17" s="178">
        <f>Т!BE17</f>
        <v>0</v>
      </c>
      <c r="BF17" s="178">
        <f>Т!BF17</f>
        <v>0</v>
      </c>
      <c r="BG17" s="178">
        <f>Т!BG17</f>
        <v>0</v>
      </c>
      <c r="BH17" s="179"/>
      <c r="BI17" s="179"/>
      <c r="BJ17" s="179"/>
      <c r="BK17" s="179"/>
      <c r="BL17" s="179"/>
      <c r="BM17" s="178">
        <f>Т!BM17</f>
        <v>0</v>
      </c>
      <c r="BN17" s="178">
        <f>Т!BN17</f>
        <v>0</v>
      </c>
      <c r="BO17" s="178">
        <f>Т!BO17</f>
        <v>0</v>
      </c>
      <c r="BP17" s="178">
        <f>Т!BP17</f>
        <v>0</v>
      </c>
      <c r="BQ17" s="178">
        <f>Т!BQ17</f>
        <v>0</v>
      </c>
      <c r="BR17" s="178">
        <f>Т!BR17</f>
        <v>0</v>
      </c>
      <c r="BS17" s="178">
        <f>Т!BS17</f>
        <v>0</v>
      </c>
      <c r="BT17" s="179"/>
      <c r="BU17" s="178">
        <f>Т!BU17</f>
        <v>0</v>
      </c>
      <c r="BV17" s="178">
        <f>Т!BV17</f>
        <v>0</v>
      </c>
      <c r="BW17" s="178">
        <f>Т!BW17</f>
        <v>0</v>
      </c>
      <c r="BX17" s="179"/>
      <c r="BY17" s="179"/>
      <c r="BZ17" s="179"/>
      <c r="CA17" s="178">
        <f>Т!CA17</f>
        <v>0</v>
      </c>
      <c r="CB17" s="178">
        <f>Т!CB17</f>
        <v>0</v>
      </c>
      <c r="CC17" s="178">
        <f>Т!CC17</f>
        <v>0</v>
      </c>
      <c r="CD17" s="178">
        <f>Т!CD17</f>
        <v>0</v>
      </c>
      <c r="CE17" s="178">
        <f>Т!CE17</f>
        <v>0</v>
      </c>
      <c r="CF17" s="178">
        <f>Т!CF17</f>
        <v>0</v>
      </c>
      <c r="CG17" s="178">
        <f>Т!CG17</f>
        <v>0</v>
      </c>
      <c r="CH17" s="178">
        <f>Т!CH17</f>
        <v>0</v>
      </c>
      <c r="CI17" s="178">
        <f>Т!CI17</f>
        <v>0</v>
      </c>
      <c r="CJ17" s="178">
        <f>Т!CJ17</f>
        <v>0</v>
      </c>
      <c r="CK17" s="178">
        <f>Т!CK17</f>
        <v>0</v>
      </c>
      <c r="CL17" s="178">
        <f>Т!CL17</f>
        <v>0</v>
      </c>
      <c r="CM17" s="178">
        <f>Т!CM17</f>
        <v>0</v>
      </c>
      <c r="CN17" s="178">
        <f>Т!CN17</f>
        <v>0</v>
      </c>
      <c r="CO17" s="178">
        <f>Т!CO17</f>
        <v>0</v>
      </c>
      <c r="CP17" s="179"/>
      <c r="CQ17" s="179"/>
      <c r="CR17" s="179"/>
      <c r="CS17" s="179"/>
      <c r="CT17" s="179"/>
      <c r="CU17" s="178">
        <f>Т!CU17</f>
        <v>0</v>
      </c>
      <c r="CV17" s="178">
        <f>Т!CV17</f>
        <v>0</v>
      </c>
      <c r="CW17" s="178">
        <f>Т!CW17</f>
        <v>0</v>
      </c>
      <c r="CX17" s="178">
        <f>Т!CX17</f>
        <v>0</v>
      </c>
      <c r="CY17" s="178">
        <f>Т!CY17</f>
        <v>0</v>
      </c>
      <c r="CZ17" s="178">
        <f>Т!CZ17</f>
        <v>0</v>
      </c>
      <c r="DA17" s="178">
        <f>Т!DA17</f>
        <v>0</v>
      </c>
      <c r="DB17" s="179"/>
      <c r="DC17" s="178">
        <f>Т!DC17</f>
        <v>0</v>
      </c>
      <c r="DD17" s="178">
        <f>Т!DD17</f>
        <v>0</v>
      </c>
      <c r="DE17" s="178">
        <f>Т!DE17</f>
        <v>0</v>
      </c>
      <c r="DF17" s="179"/>
      <c r="DG17" s="179"/>
      <c r="DH17" s="179"/>
      <c r="DI17" s="178">
        <f>Т!DI17</f>
        <v>0</v>
      </c>
      <c r="DJ17" s="178">
        <f>Т!DJ17</f>
        <v>0</v>
      </c>
      <c r="DK17" s="178">
        <f>Т!DK17</f>
        <v>0</v>
      </c>
      <c r="DL17" s="178">
        <f>Т!DL17</f>
        <v>0</v>
      </c>
      <c r="DM17" s="178">
        <f>Т!DM17</f>
        <v>0</v>
      </c>
      <c r="DN17" s="178">
        <f>Т!DN17</f>
        <v>0</v>
      </c>
      <c r="DO17" s="178">
        <f>Т!DO17</f>
        <v>0</v>
      </c>
      <c r="DP17" s="178">
        <f>Т!DP17</f>
        <v>0</v>
      </c>
      <c r="DQ17" s="178">
        <f>Т!DQ17</f>
        <v>0</v>
      </c>
      <c r="DR17" s="178">
        <f>Т!DR17</f>
        <v>0</v>
      </c>
      <c r="DS17" s="178">
        <f>Т!DS17</f>
        <v>0</v>
      </c>
      <c r="DT17" s="178">
        <f>Т!DT17</f>
        <v>0</v>
      </c>
      <c r="DU17" s="178">
        <f>Т!DU17</f>
        <v>0</v>
      </c>
      <c r="DV17" s="178">
        <f>Т!DV17</f>
        <v>0</v>
      </c>
      <c r="DW17" s="178">
        <f>Т!DW17</f>
        <v>0</v>
      </c>
      <c r="DX17" s="179"/>
      <c r="DY17" s="179"/>
      <c r="DZ17" s="179"/>
      <c r="EA17" s="179"/>
      <c r="EB17" s="179"/>
      <c r="EC17" s="178">
        <f>Т!EC17</f>
        <v>0</v>
      </c>
      <c r="ED17" s="178">
        <f>Т!ED17</f>
        <v>0</v>
      </c>
      <c r="EE17" s="178">
        <f>Т!EE17</f>
        <v>0</v>
      </c>
      <c r="EF17" s="178">
        <f>Т!EF17</f>
        <v>0</v>
      </c>
      <c r="EG17" s="178">
        <f>Т!EG17</f>
        <v>0</v>
      </c>
      <c r="EH17" s="178">
        <f>Т!EH17</f>
        <v>0</v>
      </c>
      <c r="EI17" s="178">
        <f>Т!EI17</f>
        <v>0</v>
      </c>
      <c r="EJ17" s="179"/>
      <c r="EK17" s="178">
        <f>Т!EK17</f>
        <v>0</v>
      </c>
      <c r="EL17" s="178">
        <f>Т!EL17</f>
        <v>0</v>
      </c>
      <c r="EM17" s="178">
        <f>Т!EM17</f>
        <v>0</v>
      </c>
      <c r="EN17" s="179"/>
      <c r="EO17" s="179"/>
      <c r="EP17" s="179"/>
      <c r="EQ17" s="178">
        <f>Т!EQ17</f>
        <v>0</v>
      </c>
      <c r="ER17" s="178">
        <f>Т!ER17</f>
        <v>0</v>
      </c>
      <c r="ES17" s="178">
        <f>Т!ES17</f>
        <v>0</v>
      </c>
      <c r="ET17" s="178">
        <f>Т!ET17</f>
        <v>0</v>
      </c>
      <c r="EU17" s="178">
        <f>Т!EU17</f>
        <v>0</v>
      </c>
      <c r="EV17" s="178">
        <f>Т!EV17</f>
        <v>0</v>
      </c>
      <c r="EW17" s="178">
        <f>Т!EW17</f>
        <v>0</v>
      </c>
      <c r="EX17" s="178">
        <f>Т!EX17</f>
        <v>0</v>
      </c>
      <c r="EY17" s="178">
        <f>Т!EY17</f>
        <v>0</v>
      </c>
      <c r="EZ17" s="178">
        <f>Т!EZ17</f>
        <v>0</v>
      </c>
      <c r="FA17" s="178">
        <f>Т!FA17</f>
        <v>0</v>
      </c>
      <c r="FB17" s="178">
        <f>Т!FB17</f>
        <v>0</v>
      </c>
      <c r="FC17" s="178">
        <f>Т!FC17</f>
        <v>0</v>
      </c>
      <c r="FD17" s="178">
        <f>Т!FD17</f>
        <v>0</v>
      </c>
      <c r="FE17" s="178">
        <f>Т!FE17</f>
        <v>0</v>
      </c>
      <c r="FF17" s="179"/>
      <c r="FG17" s="179"/>
      <c r="FH17" s="179"/>
      <c r="FI17" s="179"/>
      <c r="FJ17" s="179"/>
      <c r="FK17" s="229"/>
      <c r="FL17" s="176"/>
      <c r="FM17" s="176"/>
      <c r="FN17" s="176"/>
      <c r="FO17" s="371"/>
      <c r="FP17" s="372" t="str">
        <f>IF(PLAN_201X!$B7="6",IF(PLAN_201X!$H7="","",PLAN_201X!$H7),"")</f>
        <v/>
      </c>
      <c r="FQ17" s="372" t="str">
        <f>IF(PLAN_201X!$B7="6",IF(PLAN_201X!$I7="","",PLAN_201X!$I7),"")</f>
        <v/>
      </c>
      <c r="FR17" s="372" t="str">
        <f>IF(PLAN_201X!$B7="6",IF(PLAN_201X!$J7="","",PLAN_201X!$J7),"")</f>
        <v/>
      </c>
      <c r="FS17" s="171"/>
      <c r="FT17" s="221" t="s">
        <v>1580</v>
      </c>
      <c r="FU17" s="221" t="str">
        <f t="shared" si="2"/>
        <v>Дизельное топливо</v>
      </c>
      <c r="FV17" s="230">
        <f>SUMIF(PLAN_201X!$B$2:$B$19,PLAN_201X!$B7,PLAN_201X!C$2:C$19)</f>
        <v>0</v>
      </c>
      <c r="FW17" s="230">
        <f>SUMIF(PLAN_201X!$B$2:$B$19,PLAN_201X!$B7,PLAN_201X!D$2:D$19)</f>
        <v>0</v>
      </c>
      <c r="FX17" s="230">
        <f>SUMIF(PLAN_201X!$B$2:$B$19,PLAN_201X!$B7,PLAN_201X!E$2:E$19)</f>
        <v>0</v>
      </c>
      <c r="FY17" s="83"/>
      <c r="FZ17" s="59"/>
    </row>
    <row r="18" spans="6:182" s="58" customFormat="1" ht="12" customHeight="1">
      <c r="F18" s="59"/>
      <c r="G18" s="59"/>
      <c r="H18" s="59"/>
      <c r="I18" s="82"/>
      <c r="J18" s="82"/>
      <c r="K18" s="82"/>
      <c r="L18" s="59"/>
      <c r="M18" s="59"/>
      <c r="N18" s="59"/>
      <c r="O18" s="336" t="s">
        <v>1579</v>
      </c>
      <c r="P18" s="337" t="str">
        <f t="shared" si="1"/>
        <v>Мазут</v>
      </c>
      <c r="Q18" s="175">
        <f>SUMIF(PLAN_201X!$B$2:$B$19,PLAN_201X!$B8,PLAN_201X!C$2:C$19)</f>
        <v>8236.7900000000009</v>
      </c>
      <c r="R18" s="175">
        <f>SUMIF(PLAN_201X!$B$2:$B$19,PLAN_201X!$B8,PLAN_201X!D$2:D$19)</f>
        <v>3769.93</v>
      </c>
      <c r="S18" s="175">
        <f>SUMIF(PLAN_201X!$B$2:$B$19,PLAN_201X!$B8,PLAN_201X!E$2:E$19)</f>
        <v>31052.11</v>
      </c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7" t="str">
        <f t="shared" si="0"/>
        <v xml:space="preserve"> :: ACTI</v>
      </c>
      <c r="AE18" s="178">
        <f>Т!AE18</f>
        <v>0</v>
      </c>
      <c r="AF18" s="178">
        <f>Т!AF18</f>
        <v>0</v>
      </c>
      <c r="AG18" s="178">
        <f>Т!AG18</f>
        <v>0</v>
      </c>
      <c r="AH18" s="178">
        <f>Т!AH18</f>
        <v>0</v>
      </c>
      <c r="AI18" s="178">
        <f>Т!AI18</f>
        <v>0</v>
      </c>
      <c r="AJ18" s="178">
        <f>Т!AJ18</f>
        <v>0</v>
      </c>
      <c r="AK18" s="178">
        <f>Т!AK18</f>
        <v>0</v>
      </c>
      <c r="AL18" s="179"/>
      <c r="AM18" s="178">
        <f>Т!AM18</f>
        <v>0</v>
      </c>
      <c r="AN18" s="178">
        <f>Т!AN18</f>
        <v>0</v>
      </c>
      <c r="AO18" s="178">
        <f>Т!AO18</f>
        <v>0</v>
      </c>
      <c r="AP18" s="179"/>
      <c r="AQ18" s="179"/>
      <c r="AR18" s="179"/>
      <c r="AS18" s="178">
        <f>Т!AS18</f>
        <v>0</v>
      </c>
      <c r="AT18" s="178">
        <f>Т!AT18</f>
        <v>0</v>
      </c>
      <c r="AU18" s="178">
        <f>Т!AU18</f>
        <v>0</v>
      </c>
      <c r="AV18" s="178">
        <f>Т!AV18</f>
        <v>0</v>
      </c>
      <c r="AW18" s="178">
        <f>Т!AW18</f>
        <v>0</v>
      </c>
      <c r="AX18" s="178">
        <f>Т!AX18</f>
        <v>0</v>
      </c>
      <c r="AY18" s="178">
        <f>Т!AY18</f>
        <v>0</v>
      </c>
      <c r="AZ18" s="178">
        <f>Т!AZ18</f>
        <v>0</v>
      </c>
      <c r="BA18" s="178">
        <f>Т!BA18</f>
        <v>0</v>
      </c>
      <c r="BB18" s="178">
        <f>Т!BB18</f>
        <v>0</v>
      </c>
      <c r="BC18" s="178">
        <f>Т!BC18</f>
        <v>0</v>
      </c>
      <c r="BD18" s="178">
        <f>Т!BD18</f>
        <v>0</v>
      </c>
      <c r="BE18" s="178">
        <f>Т!BE18</f>
        <v>0</v>
      </c>
      <c r="BF18" s="178">
        <f>Т!BF18</f>
        <v>0</v>
      </c>
      <c r="BG18" s="178">
        <f>Т!BG18</f>
        <v>0</v>
      </c>
      <c r="BH18" s="179"/>
      <c r="BI18" s="179"/>
      <c r="BJ18" s="179"/>
      <c r="BK18" s="179"/>
      <c r="BL18" s="179"/>
      <c r="BM18" s="178">
        <f>Т!BM18</f>
        <v>0</v>
      </c>
      <c r="BN18" s="178">
        <f>Т!BN18</f>
        <v>0</v>
      </c>
      <c r="BO18" s="178">
        <f>Т!BO18</f>
        <v>0</v>
      </c>
      <c r="BP18" s="178">
        <f>Т!BP18</f>
        <v>0</v>
      </c>
      <c r="BQ18" s="178">
        <f>Т!BQ18</f>
        <v>0</v>
      </c>
      <c r="BR18" s="178">
        <f>Т!BR18</f>
        <v>0</v>
      </c>
      <c r="BS18" s="178">
        <f>Т!BS18</f>
        <v>0</v>
      </c>
      <c r="BT18" s="179"/>
      <c r="BU18" s="178">
        <f>Т!BU18</f>
        <v>0</v>
      </c>
      <c r="BV18" s="178">
        <f>Т!BV18</f>
        <v>0</v>
      </c>
      <c r="BW18" s="178">
        <f>Т!BW18</f>
        <v>0</v>
      </c>
      <c r="BX18" s="179"/>
      <c r="BY18" s="179"/>
      <c r="BZ18" s="179"/>
      <c r="CA18" s="178">
        <f>Т!CA18</f>
        <v>0</v>
      </c>
      <c r="CB18" s="178">
        <f>Т!CB18</f>
        <v>0</v>
      </c>
      <c r="CC18" s="178">
        <f>Т!CC18</f>
        <v>0</v>
      </c>
      <c r="CD18" s="178">
        <f>Т!CD18</f>
        <v>0</v>
      </c>
      <c r="CE18" s="178">
        <f>Т!CE18</f>
        <v>0</v>
      </c>
      <c r="CF18" s="178">
        <f>Т!CF18</f>
        <v>0</v>
      </c>
      <c r="CG18" s="178">
        <f>Т!CG18</f>
        <v>0</v>
      </c>
      <c r="CH18" s="178">
        <f>Т!CH18</f>
        <v>0</v>
      </c>
      <c r="CI18" s="178">
        <f>Т!CI18</f>
        <v>0</v>
      </c>
      <c r="CJ18" s="178">
        <f>Т!CJ18</f>
        <v>0</v>
      </c>
      <c r="CK18" s="178">
        <f>Т!CK18</f>
        <v>0</v>
      </c>
      <c r="CL18" s="178">
        <f>Т!CL18</f>
        <v>0</v>
      </c>
      <c r="CM18" s="178">
        <f>Т!CM18</f>
        <v>0</v>
      </c>
      <c r="CN18" s="178">
        <f>Т!CN18</f>
        <v>0</v>
      </c>
      <c r="CO18" s="178">
        <f>Т!CO18</f>
        <v>0</v>
      </c>
      <c r="CP18" s="179"/>
      <c r="CQ18" s="179"/>
      <c r="CR18" s="179"/>
      <c r="CS18" s="179"/>
      <c r="CT18" s="179"/>
      <c r="CU18" s="178">
        <f>Т!CU18</f>
        <v>0</v>
      </c>
      <c r="CV18" s="178">
        <f>Т!CV18</f>
        <v>0</v>
      </c>
      <c r="CW18" s="178">
        <f>Т!CW18</f>
        <v>0</v>
      </c>
      <c r="CX18" s="178">
        <f>Т!CX18</f>
        <v>0</v>
      </c>
      <c r="CY18" s="178">
        <f>Т!CY18</f>
        <v>0</v>
      </c>
      <c r="CZ18" s="178">
        <f>Т!CZ18</f>
        <v>0</v>
      </c>
      <c r="DA18" s="178">
        <f>Т!DA18</f>
        <v>0</v>
      </c>
      <c r="DB18" s="179"/>
      <c r="DC18" s="178">
        <f>Т!DC18</f>
        <v>0</v>
      </c>
      <c r="DD18" s="178">
        <f>Т!DD18</f>
        <v>0</v>
      </c>
      <c r="DE18" s="178">
        <f>Т!DE18</f>
        <v>0</v>
      </c>
      <c r="DF18" s="179"/>
      <c r="DG18" s="179"/>
      <c r="DH18" s="179"/>
      <c r="DI18" s="178">
        <f>Т!DI18</f>
        <v>0</v>
      </c>
      <c r="DJ18" s="178">
        <f>Т!DJ18</f>
        <v>0</v>
      </c>
      <c r="DK18" s="178">
        <f>Т!DK18</f>
        <v>0</v>
      </c>
      <c r="DL18" s="178">
        <f>Т!DL18</f>
        <v>0</v>
      </c>
      <c r="DM18" s="178">
        <f>Т!DM18</f>
        <v>0</v>
      </c>
      <c r="DN18" s="178">
        <f>Т!DN18</f>
        <v>0</v>
      </c>
      <c r="DO18" s="178">
        <f>Т!DO18</f>
        <v>0</v>
      </c>
      <c r="DP18" s="178">
        <f>Т!DP18</f>
        <v>0</v>
      </c>
      <c r="DQ18" s="178">
        <f>Т!DQ18</f>
        <v>0</v>
      </c>
      <c r="DR18" s="178">
        <f>Т!DR18</f>
        <v>0</v>
      </c>
      <c r="DS18" s="178">
        <f>Т!DS18</f>
        <v>0</v>
      </c>
      <c r="DT18" s="178">
        <f>Т!DT18</f>
        <v>0</v>
      </c>
      <c r="DU18" s="178">
        <f>Т!DU18</f>
        <v>0</v>
      </c>
      <c r="DV18" s="178">
        <f>Т!DV18</f>
        <v>0</v>
      </c>
      <c r="DW18" s="178">
        <f>Т!DW18</f>
        <v>0</v>
      </c>
      <c r="DX18" s="179"/>
      <c r="DY18" s="179"/>
      <c r="DZ18" s="179"/>
      <c r="EA18" s="179"/>
      <c r="EB18" s="179"/>
      <c r="EC18" s="178">
        <f>Т!EC18</f>
        <v>0</v>
      </c>
      <c r="ED18" s="178">
        <f>Т!ED18</f>
        <v>0</v>
      </c>
      <c r="EE18" s="178">
        <f>Т!EE18</f>
        <v>0</v>
      </c>
      <c r="EF18" s="178">
        <f>Т!EF18</f>
        <v>0</v>
      </c>
      <c r="EG18" s="178">
        <f>Т!EG18</f>
        <v>0</v>
      </c>
      <c r="EH18" s="178">
        <f>Т!EH18</f>
        <v>0</v>
      </c>
      <c r="EI18" s="178">
        <f>Т!EI18</f>
        <v>0</v>
      </c>
      <c r="EJ18" s="179"/>
      <c r="EK18" s="178">
        <f>Т!EK18</f>
        <v>0</v>
      </c>
      <c r="EL18" s="178">
        <f>Т!EL18</f>
        <v>0</v>
      </c>
      <c r="EM18" s="178">
        <f>Т!EM18</f>
        <v>0</v>
      </c>
      <c r="EN18" s="179"/>
      <c r="EO18" s="179"/>
      <c r="EP18" s="179"/>
      <c r="EQ18" s="178">
        <f>Т!EQ18</f>
        <v>0</v>
      </c>
      <c r="ER18" s="178">
        <f>Т!ER18</f>
        <v>0</v>
      </c>
      <c r="ES18" s="178">
        <f>Т!ES18</f>
        <v>0</v>
      </c>
      <c r="ET18" s="178">
        <f>Т!ET18</f>
        <v>0</v>
      </c>
      <c r="EU18" s="178">
        <f>Т!EU18</f>
        <v>0</v>
      </c>
      <c r="EV18" s="178">
        <f>Т!EV18</f>
        <v>0</v>
      </c>
      <c r="EW18" s="178">
        <f>Т!EW18</f>
        <v>0</v>
      </c>
      <c r="EX18" s="178">
        <f>Т!EX18</f>
        <v>0</v>
      </c>
      <c r="EY18" s="178">
        <f>Т!EY18</f>
        <v>0</v>
      </c>
      <c r="EZ18" s="178">
        <f>Т!EZ18</f>
        <v>0</v>
      </c>
      <c r="FA18" s="178">
        <f>Т!FA18</f>
        <v>0</v>
      </c>
      <c r="FB18" s="178">
        <f>Т!FB18</f>
        <v>0</v>
      </c>
      <c r="FC18" s="178">
        <f>Т!FC18</f>
        <v>0</v>
      </c>
      <c r="FD18" s="178">
        <f>Т!FD18</f>
        <v>0</v>
      </c>
      <c r="FE18" s="178">
        <f>Т!FE18</f>
        <v>0</v>
      </c>
      <c r="FF18" s="179"/>
      <c r="FG18" s="179"/>
      <c r="FH18" s="179"/>
      <c r="FI18" s="179"/>
      <c r="FJ18" s="179"/>
      <c r="FK18" s="229"/>
      <c r="FL18" s="176"/>
      <c r="FM18" s="176"/>
      <c r="FN18" s="176"/>
      <c r="FO18" s="371"/>
      <c r="FP18" s="372" t="str">
        <f>IF(PLAN_201X!$B8="7",IF(PLAN_201X!$H8="","",PLAN_201X!$H8),"")</f>
        <v/>
      </c>
      <c r="FQ18" s="372" t="str">
        <f>IF(PLAN_201X!$B8="7",IF(PLAN_201X!$I8="","",PLAN_201X!$I8),"")</f>
        <v/>
      </c>
      <c r="FR18" s="372" t="str">
        <f>IF(PLAN_201X!$B8="7",IF(PLAN_201X!$J8="","",PLAN_201X!$J8),"")</f>
        <v/>
      </c>
      <c r="FS18" s="171"/>
      <c r="FT18" s="221" t="s">
        <v>1579</v>
      </c>
      <c r="FU18" s="221" t="str">
        <f t="shared" si="2"/>
        <v>Мазут</v>
      </c>
      <c r="FV18" s="230">
        <f>SUMIF(PLAN_201X!$B$2:$B$19,PLAN_201X!$B8,PLAN_201X!C$2:C$19)</f>
        <v>8236.7900000000009</v>
      </c>
      <c r="FW18" s="230">
        <f>SUMIF(PLAN_201X!$B$2:$B$19,PLAN_201X!$B8,PLAN_201X!D$2:D$19)</f>
        <v>3769.93</v>
      </c>
      <c r="FX18" s="230">
        <f>SUMIF(PLAN_201X!$B$2:$B$19,PLAN_201X!$B8,PLAN_201X!E$2:E$19)</f>
        <v>31052.11</v>
      </c>
      <c r="FY18" s="83"/>
      <c r="FZ18" s="59"/>
    </row>
    <row r="19" spans="6:182" s="58" customFormat="1" ht="12" customHeight="1">
      <c r="F19" s="59"/>
      <c r="G19" s="59"/>
      <c r="H19" s="59"/>
      <c r="I19" s="82"/>
      <c r="J19" s="82"/>
      <c r="K19" s="82"/>
      <c r="L19" s="59"/>
      <c r="M19" s="59"/>
      <c r="N19" s="59"/>
      <c r="O19" s="336" t="s">
        <v>1620</v>
      </c>
      <c r="P19" s="337" t="str">
        <f t="shared" si="1"/>
        <v>Нефть</v>
      </c>
      <c r="Q19" s="175">
        <f>SUMIF(PLAN_201X!$B$2:$B$19,PLAN_201X!$B9,PLAN_201X!C$2:C$19)</f>
        <v>0</v>
      </c>
      <c r="R19" s="175">
        <f>SUMIF(PLAN_201X!$B$2:$B$19,PLAN_201X!$B9,PLAN_201X!D$2:D$19)</f>
        <v>0</v>
      </c>
      <c r="S19" s="175">
        <f>SUMIF(PLAN_201X!$B$2:$B$19,PLAN_201X!$B9,PLAN_201X!E$2:E$19)</f>
        <v>0</v>
      </c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7" t="str">
        <f t="shared" si="0"/>
        <v xml:space="preserve"> :: ACTI</v>
      </c>
      <c r="AE19" s="178">
        <f>Т!AE19</f>
        <v>0</v>
      </c>
      <c r="AF19" s="178">
        <f>Т!AF19</f>
        <v>0</v>
      </c>
      <c r="AG19" s="178">
        <f>Т!AG19</f>
        <v>0</v>
      </c>
      <c r="AH19" s="178">
        <f>Т!AH19</f>
        <v>0</v>
      </c>
      <c r="AI19" s="178">
        <f>Т!AI19</f>
        <v>0</v>
      </c>
      <c r="AJ19" s="178">
        <f>Т!AJ19</f>
        <v>0</v>
      </c>
      <c r="AK19" s="178">
        <f>Т!AK19</f>
        <v>0</v>
      </c>
      <c r="AL19" s="179"/>
      <c r="AM19" s="178">
        <f>Т!AM19</f>
        <v>0</v>
      </c>
      <c r="AN19" s="178">
        <f>Т!AN19</f>
        <v>0</v>
      </c>
      <c r="AO19" s="178">
        <f>Т!AO19</f>
        <v>0</v>
      </c>
      <c r="AP19" s="179"/>
      <c r="AQ19" s="179"/>
      <c r="AR19" s="179"/>
      <c r="AS19" s="178">
        <f>Т!AS19</f>
        <v>0</v>
      </c>
      <c r="AT19" s="178">
        <f>Т!AT19</f>
        <v>0</v>
      </c>
      <c r="AU19" s="178">
        <f>Т!AU19</f>
        <v>0</v>
      </c>
      <c r="AV19" s="178">
        <f>Т!AV19</f>
        <v>0</v>
      </c>
      <c r="AW19" s="178">
        <f>Т!AW19</f>
        <v>0</v>
      </c>
      <c r="AX19" s="178">
        <f>Т!AX19</f>
        <v>0</v>
      </c>
      <c r="AY19" s="178">
        <f>Т!AY19</f>
        <v>0</v>
      </c>
      <c r="AZ19" s="178">
        <f>Т!AZ19</f>
        <v>0</v>
      </c>
      <c r="BA19" s="178">
        <f>Т!BA19</f>
        <v>0</v>
      </c>
      <c r="BB19" s="178">
        <f>Т!BB19</f>
        <v>0</v>
      </c>
      <c r="BC19" s="178">
        <f>Т!BC19</f>
        <v>0</v>
      </c>
      <c r="BD19" s="178">
        <f>Т!BD19</f>
        <v>0</v>
      </c>
      <c r="BE19" s="178">
        <f>Т!BE19</f>
        <v>0</v>
      </c>
      <c r="BF19" s="178">
        <f>Т!BF19</f>
        <v>0</v>
      </c>
      <c r="BG19" s="178">
        <f>Т!BG19</f>
        <v>0</v>
      </c>
      <c r="BH19" s="179"/>
      <c r="BI19" s="179"/>
      <c r="BJ19" s="179"/>
      <c r="BK19" s="179"/>
      <c r="BL19" s="179"/>
      <c r="BM19" s="178">
        <f>Т!BM19</f>
        <v>0</v>
      </c>
      <c r="BN19" s="178">
        <f>Т!BN19</f>
        <v>0</v>
      </c>
      <c r="BO19" s="178">
        <f>Т!BO19</f>
        <v>0</v>
      </c>
      <c r="BP19" s="178">
        <f>Т!BP19</f>
        <v>0</v>
      </c>
      <c r="BQ19" s="178">
        <f>Т!BQ19</f>
        <v>0</v>
      </c>
      <c r="BR19" s="178">
        <f>Т!BR19</f>
        <v>0</v>
      </c>
      <c r="BS19" s="178">
        <f>Т!BS19</f>
        <v>0</v>
      </c>
      <c r="BT19" s="179"/>
      <c r="BU19" s="178">
        <f>Т!BU19</f>
        <v>0</v>
      </c>
      <c r="BV19" s="178">
        <f>Т!BV19</f>
        <v>0</v>
      </c>
      <c r="BW19" s="178">
        <f>Т!BW19</f>
        <v>0</v>
      </c>
      <c r="BX19" s="179"/>
      <c r="BY19" s="179"/>
      <c r="BZ19" s="179"/>
      <c r="CA19" s="178">
        <f>Т!CA19</f>
        <v>0</v>
      </c>
      <c r="CB19" s="178">
        <f>Т!CB19</f>
        <v>0</v>
      </c>
      <c r="CC19" s="178">
        <f>Т!CC19</f>
        <v>0</v>
      </c>
      <c r="CD19" s="178">
        <f>Т!CD19</f>
        <v>0</v>
      </c>
      <c r="CE19" s="178">
        <f>Т!CE19</f>
        <v>0</v>
      </c>
      <c r="CF19" s="178">
        <f>Т!CF19</f>
        <v>0</v>
      </c>
      <c r="CG19" s="178">
        <f>Т!CG19</f>
        <v>0</v>
      </c>
      <c r="CH19" s="178">
        <f>Т!CH19</f>
        <v>0</v>
      </c>
      <c r="CI19" s="178">
        <f>Т!CI19</f>
        <v>0</v>
      </c>
      <c r="CJ19" s="178">
        <f>Т!CJ19</f>
        <v>0</v>
      </c>
      <c r="CK19" s="178">
        <f>Т!CK19</f>
        <v>0</v>
      </c>
      <c r="CL19" s="178">
        <f>Т!CL19</f>
        <v>0</v>
      </c>
      <c r="CM19" s="178">
        <f>Т!CM19</f>
        <v>0</v>
      </c>
      <c r="CN19" s="178">
        <f>Т!CN19</f>
        <v>0</v>
      </c>
      <c r="CO19" s="178">
        <f>Т!CO19</f>
        <v>0</v>
      </c>
      <c r="CP19" s="179"/>
      <c r="CQ19" s="179"/>
      <c r="CR19" s="179"/>
      <c r="CS19" s="179"/>
      <c r="CT19" s="179"/>
      <c r="CU19" s="178">
        <f>Т!CU19</f>
        <v>0</v>
      </c>
      <c r="CV19" s="178">
        <f>Т!CV19</f>
        <v>0</v>
      </c>
      <c r="CW19" s="178">
        <f>Т!CW19</f>
        <v>0</v>
      </c>
      <c r="CX19" s="178">
        <f>Т!CX19</f>
        <v>0</v>
      </c>
      <c r="CY19" s="178">
        <f>Т!CY19</f>
        <v>0</v>
      </c>
      <c r="CZ19" s="178">
        <f>Т!CZ19</f>
        <v>0</v>
      </c>
      <c r="DA19" s="178">
        <f>Т!DA19</f>
        <v>0</v>
      </c>
      <c r="DB19" s="179"/>
      <c r="DC19" s="178">
        <f>Т!DC19</f>
        <v>0</v>
      </c>
      <c r="DD19" s="178">
        <f>Т!DD19</f>
        <v>0</v>
      </c>
      <c r="DE19" s="178">
        <f>Т!DE19</f>
        <v>0</v>
      </c>
      <c r="DF19" s="179"/>
      <c r="DG19" s="179"/>
      <c r="DH19" s="179"/>
      <c r="DI19" s="178">
        <f>Т!DI19</f>
        <v>0</v>
      </c>
      <c r="DJ19" s="178">
        <f>Т!DJ19</f>
        <v>0</v>
      </c>
      <c r="DK19" s="178">
        <f>Т!DK19</f>
        <v>0</v>
      </c>
      <c r="DL19" s="178">
        <f>Т!DL19</f>
        <v>0</v>
      </c>
      <c r="DM19" s="178">
        <f>Т!DM19</f>
        <v>0</v>
      </c>
      <c r="DN19" s="178">
        <f>Т!DN19</f>
        <v>0</v>
      </c>
      <c r="DO19" s="178">
        <f>Т!DO19</f>
        <v>0</v>
      </c>
      <c r="DP19" s="178">
        <f>Т!DP19</f>
        <v>0</v>
      </c>
      <c r="DQ19" s="178">
        <f>Т!DQ19</f>
        <v>0</v>
      </c>
      <c r="DR19" s="178">
        <f>Т!DR19</f>
        <v>0</v>
      </c>
      <c r="DS19" s="178">
        <f>Т!DS19</f>
        <v>0</v>
      </c>
      <c r="DT19" s="178">
        <f>Т!DT19</f>
        <v>0</v>
      </c>
      <c r="DU19" s="178">
        <f>Т!DU19</f>
        <v>0</v>
      </c>
      <c r="DV19" s="178">
        <f>Т!DV19</f>
        <v>0</v>
      </c>
      <c r="DW19" s="178">
        <f>Т!DW19</f>
        <v>0</v>
      </c>
      <c r="DX19" s="179"/>
      <c r="DY19" s="179"/>
      <c r="DZ19" s="179"/>
      <c r="EA19" s="179"/>
      <c r="EB19" s="179"/>
      <c r="EC19" s="178">
        <f>Т!EC19</f>
        <v>0</v>
      </c>
      <c r="ED19" s="178">
        <f>Т!ED19</f>
        <v>0</v>
      </c>
      <c r="EE19" s="178">
        <f>Т!EE19</f>
        <v>0</v>
      </c>
      <c r="EF19" s="178">
        <f>Т!EF19</f>
        <v>0</v>
      </c>
      <c r="EG19" s="178">
        <f>Т!EG19</f>
        <v>0</v>
      </c>
      <c r="EH19" s="178">
        <f>Т!EH19</f>
        <v>0</v>
      </c>
      <c r="EI19" s="178">
        <f>Т!EI19</f>
        <v>0</v>
      </c>
      <c r="EJ19" s="179"/>
      <c r="EK19" s="178">
        <f>Т!EK19</f>
        <v>0</v>
      </c>
      <c r="EL19" s="178">
        <f>Т!EL19</f>
        <v>0</v>
      </c>
      <c r="EM19" s="178">
        <f>Т!EM19</f>
        <v>0</v>
      </c>
      <c r="EN19" s="179"/>
      <c r="EO19" s="179"/>
      <c r="EP19" s="179"/>
      <c r="EQ19" s="178">
        <f>Т!EQ19</f>
        <v>0</v>
      </c>
      <c r="ER19" s="178">
        <f>Т!ER19</f>
        <v>0</v>
      </c>
      <c r="ES19" s="178">
        <f>Т!ES19</f>
        <v>0</v>
      </c>
      <c r="ET19" s="178">
        <f>Т!ET19</f>
        <v>0</v>
      </c>
      <c r="EU19" s="178">
        <f>Т!EU19</f>
        <v>0</v>
      </c>
      <c r="EV19" s="178">
        <f>Т!EV19</f>
        <v>0</v>
      </c>
      <c r="EW19" s="178">
        <f>Т!EW19</f>
        <v>0</v>
      </c>
      <c r="EX19" s="178">
        <f>Т!EX19</f>
        <v>0</v>
      </c>
      <c r="EY19" s="178">
        <f>Т!EY19</f>
        <v>0</v>
      </c>
      <c r="EZ19" s="178">
        <f>Т!EZ19</f>
        <v>0</v>
      </c>
      <c r="FA19" s="178">
        <f>Т!FA19</f>
        <v>0</v>
      </c>
      <c r="FB19" s="178">
        <f>Т!FB19</f>
        <v>0</v>
      </c>
      <c r="FC19" s="178">
        <f>Т!FC19</f>
        <v>0</v>
      </c>
      <c r="FD19" s="178">
        <f>Т!FD19</f>
        <v>0</v>
      </c>
      <c r="FE19" s="178">
        <f>Т!FE19</f>
        <v>0</v>
      </c>
      <c r="FF19" s="179"/>
      <c r="FG19" s="179"/>
      <c r="FH19" s="179"/>
      <c r="FI19" s="179"/>
      <c r="FJ19" s="179"/>
      <c r="FK19" s="229"/>
      <c r="FL19" s="176"/>
      <c r="FM19" s="176"/>
      <c r="FN19" s="176"/>
      <c r="FO19" s="371"/>
      <c r="FP19" s="372" t="str">
        <f>IF(PLAN_201X!$B9="8",IF(PLAN_201X!$H9="","",PLAN_201X!$H9),"")</f>
        <v/>
      </c>
      <c r="FQ19" s="372" t="str">
        <f>IF(PLAN_201X!$B9="8",IF(PLAN_201X!$I9="","",PLAN_201X!$I9),"")</f>
        <v/>
      </c>
      <c r="FR19" s="372" t="str">
        <f>IF(PLAN_201X!$B9="8",IF(PLAN_201X!$J9="","",PLAN_201X!$J9),"")</f>
        <v/>
      </c>
      <c r="FS19" s="171"/>
      <c r="FT19" s="221" t="s">
        <v>1620</v>
      </c>
      <c r="FU19" s="221" t="str">
        <f t="shared" si="2"/>
        <v>Нефть</v>
      </c>
      <c r="FV19" s="230">
        <f>SUMIF(PLAN_201X!$B$2:$B$19,PLAN_201X!$B9,PLAN_201X!C$2:C$19)</f>
        <v>0</v>
      </c>
      <c r="FW19" s="230">
        <f>SUMIF(PLAN_201X!$B$2:$B$19,PLAN_201X!$B9,PLAN_201X!D$2:D$19)</f>
        <v>0</v>
      </c>
      <c r="FX19" s="230">
        <f>SUMIF(PLAN_201X!$B$2:$B$19,PLAN_201X!$B9,PLAN_201X!E$2:E$19)</f>
        <v>0</v>
      </c>
      <c r="FY19" s="83"/>
      <c r="FZ19" s="59"/>
    </row>
    <row r="20" spans="6:182" s="58" customFormat="1" ht="12" customHeight="1">
      <c r="F20" s="59"/>
      <c r="G20" s="59"/>
      <c r="H20" s="59"/>
      <c r="I20" s="82"/>
      <c r="J20" s="82"/>
      <c r="K20" s="82"/>
      <c r="L20" s="59"/>
      <c r="M20" s="59"/>
      <c r="N20" s="59"/>
      <c r="O20" s="336" t="s">
        <v>1578</v>
      </c>
      <c r="P20" s="337" t="str">
        <f t="shared" si="1"/>
        <v>Уголь</v>
      </c>
      <c r="Q20" s="175">
        <f>SUMIF(PLAN_201X!$B$2:$B$19,PLAN_201X!$B10,PLAN_201X!C$2:C$19)</f>
        <v>0</v>
      </c>
      <c r="R20" s="175">
        <f>SUMIF(PLAN_201X!$B$2:$B$19,PLAN_201X!$B10,PLAN_201X!D$2:D$19)</f>
        <v>0</v>
      </c>
      <c r="S20" s="175">
        <f>SUMIF(PLAN_201X!$B$2:$B$19,PLAN_201X!$B10,PLAN_201X!E$2:E$19)</f>
        <v>0</v>
      </c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7" t="str">
        <f t="shared" si="0"/>
        <v xml:space="preserve"> :: ACTI</v>
      </c>
      <c r="AE20" s="178">
        <f>Т!AE20</f>
        <v>0</v>
      </c>
      <c r="AF20" s="178">
        <f>Т!AF20</f>
        <v>0</v>
      </c>
      <c r="AG20" s="178">
        <f>Т!AG20</f>
        <v>0</v>
      </c>
      <c r="AH20" s="178">
        <f>Т!AH20</f>
        <v>0</v>
      </c>
      <c r="AI20" s="178">
        <f>Т!AI20</f>
        <v>0</v>
      </c>
      <c r="AJ20" s="178">
        <f>Т!AJ20</f>
        <v>0</v>
      </c>
      <c r="AK20" s="178">
        <f>Т!AK20</f>
        <v>0</v>
      </c>
      <c r="AL20" s="179"/>
      <c r="AM20" s="178">
        <f>Т!AM20</f>
        <v>0</v>
      </c>
      <c r="AN20" s="178">
        <f>Т!AN20</f>
        <v>0</v>
      </c>
      <c r="AO20" s="178">
        <f>Т!AO20</f>
        <v>0</v>
      </c>
      <c r="AP20" s="179"/>
      <c r="AQ20" s="179"/>
      <c r="AR20" s="179"/>
      <c r="AS20" s="178">
        <f>Т!AS20</f>
        <v>0</v>
      </c>
      <c r="AT20" s="178">
        <f>Т!AT20</f>
        <v>0</v>
      </c>
      <c r="AU20" s="178">
        <f>Т!AU20</f>
        <v>0</v>
      </c>
      <c r="AV20" s="178">
        <f>Т!AV20</f>
        <v>0</v>
      </c>
      <c r="AW20" s="178">
        <f>Т!AW20</f>
        <v>0</v>
      </c>
      <c r="AX20" s="178">
        <f>Т!AX20</f>
        <v>0</v>
      </c>
      <c r="AY20" s="178">
        <f>Т!AY20</f>
        <v>0</v>
      </c>
      <c r="AZ20" s="178">
        <f>Т!AZ20</f>
        <v>0</v>
      </c>
      <c r="BA20" s="178">
        <f>Т!BA20</f>
        <v>0</v>
      </c>
      <c r="BB20" s="178">
        <f>Т!BB20</f>
        <v>0</v>
      </c>
      <c r="BC20" s="178">
        <f>Т!BC20</f>
        <v>0</v>
      </c>
      <c r="BD20" s="178">
        <f>Т!BD20</f>
        <v>0</v>
      </c>
      <c r="BE20" s="178">
        <f>Т!BE20</f>
        <v>0</v>
      </c>
      <c r="BF20" s="178">
        <f>Т!BF20</f>
        <v>0</v>
      </c>
      <c r="BG20" s="178">
        <f>Т!BG20</f>
        <v>0</v>
      </c>
      <c r="BH20" s="179"/>
      <c r="BI20" s="179"/>
      <c r="BJ20" s="179"/>
      <c r="BK20" s="179"/>
      <c r="BL20" s="179"/>
      <c r="BM20" s="178">
        <f>Т!BM20</f>
        <v>0</v>
      </c>
      <c r="BN20" s="178">
        <f>Т!BN20</f>
        <v>0</v>
      </c>
      <c r="BO20" s="178">
        <f>Т!BO20</f>
        <v>0</v>
      </c>
      <c r="BP20" s="178">
        <f>Т!BP20</f>
        <v>0</v>
      </c>
      <c r="BQ20" s="178">
        <f>Т!BQ20</f>
        <v>0</v>
      </c>
      <c r="BR20" s="178">
        <f>Т!BR20</f>
        <v>0</v>
      </c>
      <c r="BS20" s="178">
        <f>Т!BS20</f>
        <v>0</v>
      </c>
      <c r="BT20" s="179"/>
      <c r="BU20" s="178">
        <f>Т!BU20</f>
        <v>0</v>
      </c>
      <c r="BV20" s="178">
        <f>Т!BV20</f>
        <v>0</v>
      </c>
      <c r="BW20" s="178">
        <f>Т!BW20</f>
        <v>0</v>
      </c>
      <c r="BX20" s="179"/>
      <c r="BY20" s="179"/>
      <c r="BZ20" s="179"/>
      <c r="CA20" s="178">
        <f>Т!CA20</f>
        <v>0</v>
      </c>
      <c r="CB20" s="178">
        <f>Т!CB20</f>
        <v>0</v>
      </c>
      <c r="CC20" s="178">
        <f>Т!CC20</f>
        <v>0</v>
      </c>
      <c r="CD20" s="178">
        <f>Т!CD20</f>
        <v>0</v>
      </c>
      <c r="CE20" s="178">
        <f>Т!CE20</f>
        <v>0</v>
      </c>
      <c r="CF20" s="178">
        <f>Т!CF20</f>
        <v>0</v>
      </c>
      <c r="CG20" s="178">
        <f>Т!CG20</f>
        <v>0</v>
      </c>
      <c r="CH20" s="178">
        <f>Т!CH20</f>
        <v>0</v>
      </c>
      <c r="CI20" s="178">
        <f>Т!CI20</f>
        <v>0</v>
      </c>
      <c r="CJ20" s="178">
        <f>Т!CJ20</f>
        <v>0</v>
      </c>
      <c r="CK20" s="178">
        <f>Т!CK20</f>
        <v>0</v>
      </c>
      <c r="CL20" s="178">
        <f>Т!CL20</f>
        <v>0</v>
      </c>
      <c r="CM20" s="178">
        <f>Т!CM20</f>
        <v>0</v>
      </c>
      <c r="CN20" s="178">
        <f>Т!CN20</f>
        <v>0</v>
      </c>
      <c r="CO20" s="178">
        <f>Т!CO20</f>
        <v>0</v>
      </c>
      <c r="CP20" s="179"/>
      <c r="CQ20" s="179"/>
      <c r="CR20" s="179"/>
      <c r="CS20" s="179"/>
      <c r="CT20" s="179"/>
      <c r="CU20" s="178">
        <f>Т!CU20</f>
        <v>0</v>
      </c>
      <c r="CV20" s="178">
        <f>Т!CV20</f>
        <v>0</v>
      </c>
      <c r="CW20" s="178">
        <f>Т!CW20</f>
        <v>0</v>
      </c>
      <c r="CX20" s="178">
        <f>Т!CX20</f>
        <v>0</v>
      </c>
      <c r="CY20" s="178">
        <f>Т!CY20</f>
        <v>0</v>
      </c>
      <c r="CZ20" s="178">
        <f>Т!CZ20</f>
        <v>0</v>
      </c>
      <c r="DA20" s="178">
        <f>Т!DA20</f>
        <v>0</v>
      </c>
      <c r="DB20" s="179"/>
      <c r="DC20" s="178">
        <f>Т!DC20</f>
        <v>0</v>
      </c>
      <c r="DD20" s="178">
        <f>Т!DD20</f>
        <v>0</v>
      </c>
      <c r="DE20" s="178">
        <f>Т!DE20</f>
        <v>0</v>
      </c>
      <c r="DF20" s="179"/>
      <c r="DG20" s="179"/>
      <c r="DH20" s="179"/>
      <c r="DI20" s="178">
        <f>Т!DI20</f>
        <v>0</v>
      </c>
      <c r="DJ20" s="178">
        <f>Т!DJ20</f>
        <v>0</v>
      </c>
      <c r="DK20" s="178">
        <f>Т!DK20</f>
        <v>0</v>
      </c>
      <c r="DL20" s="178">
        <f>Т!DL20</f>
        <v>0</v>
      </c>
      <c r="DM20" s="178">
        <f>Т!DM20</f>
        <v>0</v>
      </c>
      <c r="DN20" s="178">
        <f>Т!DN20</f>
        <v>0</v>
      </c>
      <c r="DO20" s="178">
        <f>Т!DO20</f>
        <v>0</v>
      </c>
      <c r="DP20" s="178">
        <f>Т!DP20</f>
        <v>0</v>
      </c>
      <c r="DQ20" s="178">
        <f>Т!DQ20</f>
        <v>0</v>
      </c>
      <c r="DR20" s="178">
        <f>Т!DR20</f>
        <v>0</v>
      </c>
      <c r="DS20" s="178">
        <f>Т!DS20</f>
        <v>0</v>
      </c>
      <c r="DT20" s="178">
        <f>Т!DT20</f>
        <v>0</v>
      </c>
      <c r="DU20" s="178">
        <f>Т!DU20</f>
        <v>0</v>
      </c>
      <c r="DV20" s="178">
        <f>Т!DV20</f>
        <v>0</v>
      </c>
      <c r="DW20" s="178">
        <f>Т!DW20</f>
        <v>0</v>
      </c>
      <c r="DX20" s="179"/>
      <c r="DY20" s="179"/>
      <c r="DZ20" s="179"/>
      <c r="EA20" s="179"/>
      <c r="EB20" s="179"/>
      <c r="EC20" s="178">
        <f>Т!EC20</f>
        <v>0</v>
      </c>
      <c r="ED20" s="178">
        <f>Т!ED20</f>
        <v>0</v>
      </c>
      <c r="EE20" s="178">
        <f>Т!EE20</f>
        <v>0</v>
      </c>
      <c r="EF20" s="178">
        <f>Т!EF20</f>
        <v>0</v>
      </c>
      <c r="EG20" s="178">
        <f>Т!EG20</f>
        <v>0</v>
      </c>
      <c r="EH20" s="178">
        <f>Т!EH20</f>
        <v>0</v>
      </c>
      <c r="EI20" s="178">
        <f>Т!EI20</f>
        <v>0</v>
      </c>
      <c r="EJ20" s="179"/>
      <c r="EK20" s="178">
        <f>Т!EK20</f>
        <v>0</v>
      </c>
      <c r="EL20" s="178">
        <f>Т!EL20</f>
        <v>0</v>
      </c>
      <c r="EM20" s="178">
        <f>Т!EM20</f>
        <v>0</v>
      </c>
      <c r="EN20" s="179"/>
      <c r="EO20" s="179"/>
      <c r="EP20" s="179"/>
      <c r="EQ20" s="178">
        <f>Т!EQ20</f>
        <v>0</v>
      </c>
      <c r="ER20" s="178">
        <f>Т!ER20</f>
        <v>0</v>
      </c>
      <c r="ES20" s="178">
        <f>Т!ES20</f>
        <v>0</v>
      </c>
      <c r="ET20" s="178">
        <f>Т!ET20</f>
        <v>0</v>
      </c>
      <c r="EU20" s="178">
        <f>Т!EU20</f>
        <v>0</v>
      </c>
      <c r="EV20" s="178">
        <f>Т!EV20</f>
        <v>0</v>
      </c>
      <c r="EW20" s="178">
        <f>Т!EW20</f>
        <v>0</v>
      </c>
      <c r="EX20" s="178">
        <f>Т!EX20</f>
        <v>0</v>
      </c>
      <c r="EY20" s="178">
        <f>Т!EY20</f>
        <v>0</v>
      </c>
      <c r="EZ20" s="178">
        <f>Т!EZ20</f>
        <v>0</v>
      </c>
      <c r="FA20" s="178">
        <f>Т!FA20</f>
        <v>0</v>
      </c>
      <c r="FB20" s="178">
        <f>Т!FB20</f>
        <v>0</v>
      </c>
      <c r="FC20" s="178">
        <f>Т!FC20</f>
        <v>0</v>
      </c>
      <c r="FD20" s="178">
        <f>Т!FD20</f>
        <v>0</v>
      </c>
      <c r="FE20" s="178">
        <f>Т!FE20</f>
        <v>0</v>
      </c>
      <c r="FF20" s="179"/>
      <c r="FG20" s="179"/>
      <c r="FH20" s="179"/>
      <c r="FI20" s="179"/>
      <c r="FJ20" s="179"/>
      <c r="FK20" s="229"/>
      <c r="FL20" s="176"/>
      <c r="FM20" s="176"/>
      <c r="FN20" s="176"/>
      <c r="FO20" s="371"/>
      <c r="FP20" s="372" t="str">
        <f>IF(PLAN_201X!$B10="9",IF(PLAN_201X!$H10="","",PLAN_201X!$H10),"")</f>
        <v/>
      </c>
      <c r="FQ20" s="372" t="str">
        <f>IF(PLAN_201X!$B10="9",IF(PLAN_201X!$I10="","",PLAN_201X!$I10),"")</f>
        <v/>
      </c>
      <c r="FR20" s="372" t="str">
        <f>IF(PLAN_201X!$B10="9",IF(PLAN_201X!$J10="","",PLAN_201X!$J10),"")</f>
        <v/>
      </c>
      <c r="FS20" s="171"/>
      <c r="FT20" s="221" t="s">
        <v>1578</v>
      </c>
      <c r="FU20" s="221" t="str">
        <f t="shared" si="2"/>
        <v>Уголь</v>
      </c>
      <c r="FV20" s="230">
        <f>SUMIF(PLAN_201X!$B$2:$B$19,PLAN_201X!$B10,PLAN_201X!C$2:C$19)</f>
        <v>0</v>
      </c>
      <c r="FW20" s="230">
        <f>SUMIF(PLAN_201X!$B$2:$B$19,PLAN_201X!$B10,PLAN_201X!D$2:D$19)</f>
        <v>0</v>
      </c>
      <c r="FX20" s="230">
        <f>SUMIF(PLAN_201X!$B$2:$B$19,PLAN_201X!$B10,PLAN_201X!E$2:E$19)</f>
        <v>0</v>
      </c>
      <c r="FY20" s="83"/>
      <c r="FZ20" s="59"/>
    </row>
    <row r="21" spans="6:182" s="58" customFormat="1" ht="12" customHeight="1">
      <c r="F21" s="59"/>
      <c r="G21" s="59"/>
      <c r="H21" s="59"/>
      <c r="I21" s="82"/>
      <c r="J21" s="82"/>
      <c r="K21" s="82"/>
      <c r="L21" s="59"/>
      <c r="M21" s="59"/>
      <c r="N21" s="59"/>
      <c r="O21" s="461" t="s">
        <v>1621</v>
      </c>
      <c r="P21" s="336" t="s">
        <v>1663</v>
      </c>
      <c r="Q21" s="175">
        <f>SUMIF(PLAN_201X!$B$2:$B$19,PLAN_201X!$B11,PLAN_201X!C$2:C$19)</f>
        <v>0</v>
      </c>
      <c r="R21" s="175">
        <f>SUMIF(PLAN_201X!$B$2:$B$19,PLAN_201X!$B11,PLAN_201X!D$2:D$19)</f>
        <v>0</v>
      </c>
      <c r="S21" s="175">
        <f>SUMIF(PLAN_201X!$B$2:$B$19,PLAN_201X!$B11,PLAN_201X!E$2:E$19)</f>
        <v>0</v>
      </c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7" t="str">
        <f t="shared" si="0"/>
        <v xml:space="preserve"> :: ACTI</v>
      </c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79"/>
      <c r="BA21" s="179"/>
      <c r="BB21" s="179"/>
      <c r="BC21" s="179"/>
      <c r="BD21" s="179"/>
      <c r="BE21" s="179"/>
      <c r="BF21" s="179"/>
      <c r="BG21" s="179"/>
      <c r="BH21" s="178">
        <f>Т!BH21</f>
        <v>0</v>
      </c>
      <c r="BI21" s="178">
        <f>Т!BI21</f>
        <v>0</v>
      </c>
      <c r="BJ21" s="178">
        <f>Т!BJ21</f>
        <v>0</v>
      </c>
      <c r="BK21" s="178">
        <f>Т!BK21</f>
        <v>0</v>
      </c>
      <c r="BL21" s="178">
        <f>Т!BL21</f>
        <v>0</v>
      </c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  <c r="BX21" s="179"/>
      <c r="BY21" s="179"/>
      <c r="BZ21" s="179"/>
      <c r="CA21" s="179"/>
      <c r="CB21" s="179"/>
      <c r="CC21" s="179"/>
      <c r="CD21" s="179"/>
      <c r="CE21" s="179"/>
      <c r="CF21" s="179"/>
      <c r="CG21" s="179"/>
      <c r="CH21" s="179"/>
      <c r="CI21" s="179"/>
      <c r="CJ21" s="179"/>
      <c r="CK21" s="179"/>
      <c r="CL21" s="179"/>
      <c r="CM21" s="179"/>
      <c r="CN21" s="179"/>
      <c r="CO21" s="179"/>
      <c r="CP21" s="178">
        <f>Т!CP21</f>
        <v>0</v>
      </c>
      <c r="CQ21" s="178">
        <f>Т!CQ21</f>
        <v>0</v>
      </c>
      <c r="CR21" s="178">
        <f>Т!CR21</f>
        <v>0</v>
      </c>
      <c r="CS21" s="178">
        <f>Т!CS21</f>
        <v>0</v>
      </c>
      <c r="CT21" s="178">
        <f>Т!CT21</f>
        <v>0</v>
      </c>
      <c r="CU21" s="179"/>
      <c r="CV21" s="179"/>
      <c r="CW21" s="179"/>
      <c r="CX21" s="179"/>
      <c r="CY21" s="179"/>
      <c r="CZ21" s="179"/>
      <c r="DA21" s="179"/>
      <c r="DB21" s="179"/>
      <c r="DC21" s="179"/>
      <c r="DD21" s="179"/>
      <c r="DE21" s="179"/>
      <c r="DF21" s="179"/>
      <c r="DG21" s="179"/>
      <c r="DH21" s="179"/>
      <c r="DI21" s="179"/>
      <c r="DJ21" s="179"/>
      <c r="DK21" s="179"/>
      <c r="DL21" s="179"/>
      <c r="DM21" s="179"/>
      <c r="DN21" s="179"/>
      <c r="DO21" s="179"/>
      <c r="DP21" s="179"/>
      <c r="DQ21" s="179"/>
      <c r="DR21" s="179"/>
      <c r="DS21" s="179"/>
      <c r="DT21" s="179"/>
      <c r="DU21" s="179"/>
      <c r="DV21" s="179"/>
      <c r="DW21" s="179"/>
      <c r="DX21" s="178">
        <f>Т!DX21</f>
        <v>0</v>
      </c>
      <c r="DY21" s="178">
        <f>Т!DY21</f>
        <v>0</v>
      </c>
      <c r="DZ21" s="178">
        <f>Т!DZ21</f>
        <v>0</v>
      </c>
      <c r="EA21" s="178">
        <f>Т!EA21</f>
        <v>0</v>
      </c>
      <c r="EB21" s="178">
        <f>Т!EB21</f>
        <v>0</v>
      </c>
      <c r="EC21" s="179"/>
      <c r="ED21" s="179"/>
      <c r="EE21" s="179"/>
      <c r="EF21" s="179"/>
      <c r="EG21" s="179"/>
      <c r="EH21" s="179"/>
      <c r="EI21" s="179"/>
      <c r="EJ21" s="179"/>
      <c r="EK21" s="179"/>
      <c r="EL21" s="179"/>
      <c r="EM21" s="179"/>
      <c r="EN21" s="179"/>
      <c r="EO21" s="179"/>
      <c r="EP21" s="179"/>
      <c r="EQ21" s="179"/>
      <c r="ER21" s="179"/>
      <c r="ES21" s="179"/>
      <c r="ET21" s="179"/>
      <c r="EU21" s="179"/>
      <c r="EV21" s="179"/>
      <c r="EW21" s="179"/>
      <c r="EX21" s="179"/>
      <c r="EY21" s="179"/>
      <c r="EZ21" s="179"/>
      <c r="FA21" s="179"/>
      <c r="FB21" s="179"/>
      <c r="FC21" s="179"/>
      <c r="FD21" s="179"/>
      <c r="FE21" s="179"/>
      <c r="FF21" s="178">
        <f>Т!FF21</f>
        <v>0</v>
      </c>
      <c r="FG21" s="178">
        <f>Т!FG21</f>
        <v>0</v>
      </c>
      <c r="FH21" s="178">
        <f>Т!FH21</f>
        <v>0</v>
      </c>
      <c r="FI21" s="178">
        <f>Т!FI21</f>
        <v>0</v>
      </c>
      <c r="FJ21" s="178">
        <f>Т!FJ21</f>
        <v>0</v>
      </c>
      <c r="FK21" s="229"/>
      <c r="FL21" s="176"/>
      <c r="FM21" s="176"/>
      <c r="FN21" s="176"/>
      <c r="FO21" s="371"/>
      <c r="FP21" s="372" t="str">
        <f>IF(PLAN_201X!$B11="10",IF(PLAN_201X!$H11="","",PLAN_201X!$H11),"")</f>
        <v/>
      </c>
      <c r="FQ21" s="372" t="str">
        <f>IF(PLAN_201X!$B11="10",IF(PLAN_201X!$I11="","",PLAN_201X!$I11),"")</f>
        <v/>
      </c>
      <c r="FR21" s="372" t="str">
        <f>IF(PLAN_201X!$B11="10",IF(PLAN_201X!$J11="","",PLAN_201X!$J11),"")</f>
        <v/>
      </c>
      <c r="FS21" s="171"/>
      <c r="FT21" s="452" t="s">
        <v>1621</v>
      </c>
      <c r="FU21" s="221" t="s">
        <v>1663</v>
      </c>
      <c r="FV21" s="230">
        <f>SUMIF(PLAN_201X!$B$2:$B$19,PLAN_201X!$B11,PLAN_201X!C$2:C$19)</f>
        <v>0</v>
      </c>
      <c r="FW21" s="230">
        <f>SUMIF(PLAN_201X!$B$2:$B$19,PLAN_201X!$B11,PLAN_201X!D$2:D$19)</f>
        <v>0</v>
      </c>
      <c r="FX21" s="230">
        <f>SUMIF(PLAN_201X!$B$2:$B$19,PLAN_201X!$B11,PLAN_201X!E$2:E$19)</f>
        <v>0</v>
      </c>
      <c r="FY21" s="83"/>
      <c r="FZ21" s="59"/>
    </row>
    <row r="22" spans="6:182" s="58" customFormat="1" ht="12" customHeight="1">
      <c r="F22" s="59"/>
      <c r="G22" s="59"/>
      <c r="H22" s="59"/>
      <c r="I22" s="82"/>
      <c r="J22" s="82"/>
      <c r="K22" s="82"/>
      <c r="L22" s="59"/>
      <c r="M22" s="59"/>
      <c r="N22" s="59"/>
      <c r="O22" s="462"/>
      <c r="P22" s="336" t="s">
        <v>1664</v>
      </c>
      <c r="Q22" s="175">
        <f>SUMIF(PLAN_201X!$B$2:$B$19,PLAN_201X!$B12,PLAN_201X!C$2:C$19)</f>
        <v>0</v>
      </c>
      <c r="R22" s="175">
        <f>SUMIF(PLAN_201X!$B$2:$B$19,PLAN_201X!$B12,PLAN_201X!D$2:D$19)</f>
        <v>0</v>
      </c>
      <c r="S22" s="175">
        <f>SUMIF(PLAN_201X!$B$2:$B$19,PLAN_201X!$B12,PLAN_201X!E$2:E$19)</f>
        <v>0</v>
      </c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7" t="str">
        <f>AC22 &amp; " :: ACTI"</f>
        <v xml:space="preserve"> :: ACTI</v>
      </c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8">
        <f>Т!BH22</f>
        <v>0</v>
      </c>
      <c r="BI22" s="178">
        <f>Т!BI22</f>
        <v>0</v>
      </c>
      <c r="BJ22" s="178">
        <f>Т!BJ22</f>
        <v>0</v>
      </c>
      <c r="BK22" s="178">
        <f>Т!BK22</f>
        <v>0</v>
      </c>
      <c r="BL22" s="178">
        <f>Т!BL22</f>
        <v>0</v>
      </c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  <c r="BX22" s="179"/>
      <c r="BY22" s="179"/>
      <c r="BZ22" s="179"/>
      <c r="CA22" s="179"/>
      <c r="CB22" s="179"/>
      <c r="CC22" s="179"/>
      <c r="CD22" s="179"/>
      <c r="CE22" s="179"/>
      <c r="CF22" s="179"/>
      <c r="CG22" s="179"/>
      <c r="CH22" s="179"/>
      <c r="CI22" s="179"/>
      <c r="CJ22" s="179"/>
      <c r="CK22" s="179"/>
      <c r="CL22" s="179"/>
      <c r="CM22" s="179"/>
      <c r="CN22" s="179"/>
      <c r="CO22" s="179"/>
      <c r="CP22" s="178">
        <f>Т!CP22</f>
        <v>0</v>
      </c>
      <c r="CQ22" s="178">
        <f>Т!CQ22</f>
        <v>0</v>
      </c>
      <c r="CR22" s="178">
        <f>Т!CR22</f>
        <v>0</v>
      </c>
      <c r="CS22" s="178">
        <f>Т!CS22</f>
        <v>0</v>
      </c>
      <c r="CT22" s="178">
        <f>Т!CT22</f>
        <v>0</v>
      </c>
      <c r="CU22" s="179"/>
      <c r="CV22" s="179"/>
      <c r="CW22" s="179"/>
      <c r="CX22" s="179"/>
      <c r="CY22" s="179"/>
      <c r="CZ22" s="179"/>
      <c r="DA22" s="179"/>
      <c r="DB22" s="179"/>
      <c r="DC22" s="179"/>
      <c r="DD22" s="179"/>
      <c r="DE22" s="179"/>
      <c r="DF22" s="179"/>
      <c r="DG22" s="179"/>
      <c r="DH22" s="179"/>
      <c r="DI22" s="179"/>
      <c r="DJ22" s="179"/>
      <c r="DK22" s="179"/>
      <c r="DL22" s="179"/>
      <c r="DM22" s="179"/>
      <c r="DN22" s="179"/>
      <c r="DO22" s="179"/>
      <c r="DP22" s="179"/>
      <c r="DQ22" s="179"/>
      <c r="DR22" s="179"/>
      <c r="DS22" s="179"/>
      <c r="DT22" s="179"/>
      <c r="DU22" s="179"/>
      <c r="DV22" s="179"/>
      <c r="DW22" s="179"/>
      <c r="DX22" s="178">
        <f>Т!DX22</f>
        <v>0</v>
      </c>
      <c r="DY22" s="178">
        <f>Т!DY22</f>
        <v>0</v>
      </c>
      <c r="DZ22" s="178">
        <f>Т!DZ22</f>
        <v>0</v>
      </c>
      <c r="EA22" s="178">
        <f>Т!EA22</f>
        <v>0</v>
      </c>
      <c r="EB22" s="178">
        <f>Т!EB22</f>
        <v>0</v>
      </c>
      <c r="EC22" s="179"/>
      <c r="ED22" s="179"/>
      <c r="EE22" s="179"/>
      <c r="EF22" s="179"/>
      <c r="EG22" s="179"/>
      <c r="EH22" s="179"/>
      <c r="EI22" s="179"/>
      <c r="EJ22" s="179"/>
      <c r="EK22" s="179"/>
      <c r="EL22" s="179"/>
      <c r="EM22" s="179"/>
      <c r="EN22" s="179"/>
      <c r="EO22" s="179"/>
      <c r="EP22" s="179"/>
      <c r="EQ22" s="179"/>
      <c r="ER22" s="179"/>
      <c r="ES22" s="179"/>
      <c r="ET22" s="179"/>
      <c r="EU22" s="179"/>
      <c r="EV22" s="179"/>
      <c r="EW22" s="179"/>
      <c r="EX22" s="179"/>
      <c r="EY22" s="179"/>
      <c r="EZ22" s="179"/>
      <c r="FA22" s="179"/>
      <c r="FB22" s="179"/>
      <c r="FC22" s="179"/>
      <c r="FD22" s="179"/>
      <c r="FE22" s="179"/>
      <c r="FF22" s="178">
        <f>Т!FF22</f>
        <v>0</v>
      </c>
      <c r="FG22" s="178">
        <f>Т!FG22</f>
        <v>0</v>
      </c>
      <c r="FH22" s="178">
        <f>Т!FH22</f>
        <v>0</v>
      </c>
      <c r="FI22" s="178">
        <f>Т!FI22</f>
        <v>0</v>
      </c>
      <c r="FJ22" s="178">
        <f>Т!FJ22</f>
        <v>0</v>
      </c>
      <c r="FK22" s="229"/>
      <c r="FL22" s="176"/>
      <c r="FM22" s="176"/>
      <c r="FN22" s="176"/>
      <c r="FO22" s="371"/>
      <c r="FP22" s="372" t="str">
        <f>IF(PLAN_201X!$B12="11",IF(PLAN_201X!$H12="","",PLAN_201X!$H12),"")</f>
        <v/>
      </c>
      <c r="FQ22" s="372" t="str">
        <f>IF(PLAN_201X!$B12="11",IF(PLAN_201X!$I12="","",PLAN_201X!$I12),"")</f>
        <v/>
      </c>
      <c r="FR22" s="372" t="str">
        <f>IF(PLAN_201X!$B12="11",IF(PLAN_201X!$J12="","",PLAN_201X!$J12),"")</f>
        <v/>
      </c>
      <c r="FS22" s="171"/>
      <c r="FT22" s="452"/>
      <c r="FU22" s="221" t="s">
        <v>1664</v>
      </c>
      <c r="FV22" s="230">
        <f>SUMIF(PLAN_201X!$B$2:$B$19,PLAN_201X!$B12,PLAN_201X!C$2:C$19)</f>
        <v>0</v>
      </c>
      <c r="FW22" s="230">
        <f>SUMIF(PLAN_201X!$B$2:$B$19,PLAN_201X!$B12,PLAN_201X!D$2:D$19)</f>
        <v>0</v>
      </c>
      <c r="FX22" s="230">
        <f>SUMIF(PLAN_201X!$B$2:$B$19,PLAN_201X!$B12,PLAN_201X!E$2:E$19)</f>
        <v>0</v>
      </c>
      <c r="FY22" s="83"/>
      <c r="FZ22" s="59"/>
    </row>
    <row r="23" spans="6:182" s="58" customFormat="1" ht="12" customHeight="1">
      <c r="F23" s="59"/>
      <c r="G23" s="59"/>
      <c r="H23" s="59"/>
      <c r="I23" s="82"/>
      <c r="J23" s="82"/>
      <c r="K23" s="82"/>
      <c r="L23" s="59"/>
      <c r="M23" s="59"/>
      <c r="N23" s="59"/>
      <c r="O23" s="336" t="s">
        <v>1744</v>
      </c>
      <c r="P23" s="337" t="str">
        <f t="shared" ref="P23:P28" si="3">O23</f>
        <v>Дрова</v>
      </c>
      <c r="Q23" s="175">
        <f>SUMIF(PLAN_201X!$B$2:$B$19,PLAN_201X!$B13,PLAN_201X!C$2:C$19)</f>
        <v>0</v>
      </c>
      <c r="R23" s="175">
        <f>SUMIF(PLAN_201X!$B$2:$B$19,PLAN_201X!$B13,PLAN_201X!D$2:D$19)</f>
        <v>0</v>
      </c>
      <c r="S23" s="175">
        <f>SUMIF(PLAN_201X!$B$2:$B$19,PLAN_201X!$B13,PLAN_201X!E$2:E$19)</f>
        <v>0</v>
      </c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7" t="str">
        <f>AC23 &amp; " :: ACTI"</f>
        <v xml:space="preserve"> :: ACTI</v>
      </c>
      <c r="AE23" s="178">
        <f>Т!AE23</f>
        <v>0</v>
      </c>
      <c r="AF23" s="178">
        <f>Т!AF23</f>
        <v>0</v>
      </c>
      <c r="AG23" s="178">
        <f>Т!AG23</f>
        <v>0</v>
      </c>
      <c r="AH23" s="178">
        <f>Т!AH23</f>
        <v>0</v>
      </c>
      <c r="AI23" s="178">
        <f>Т!AI23</f>
        <v>0</v>
      </c>
      <c r="AJ23" s="178">
        <f>Т!AJ23</f>
        <v>0</v>
      </c>
      <c r="AK23" s="178">
        <f>Т!AK23</f>
        <v>0</v>
      </c>
      <c r="AL23" s="179"/>
      <c r="AM23" s="178">
        <f>Т!AM23</f>
        <v>0</v>
      </c>
      <c r="AN23" s="178">
        <f>Т!AN23</f>
        <v>0</v>
      </c>
      <c r="AO23" s="178">
        <f>Т!AO23</f>
        <v>0</v>
      </c>
      <c r="AP23" s="179"/>
      <c r="AQ23" s="179"/>
      <c r="AR23" s="179"/>
      <c r="AS23" s="178">
        <f>Т!AS23</f>
        <v>0</v>
      </c>
      <c r="AT23" s="178">
        <f>Т!AT23</f>
        <v>0</v>
      </c>
      <c r="AU23" s="178">
        <f>Т!AU23</f>
        <v>0</v>
      </c>
      <c r="AV23" s="178">
        <f>Т!AV23</f>
        <v>0</v>
      </c>
      <c r="AW23" s="178">
        <f>Т!AW23</f>
        <v>0</v>
      </c>
      <c r="AX23" s="178">
        <f>Т!AX23</f>
        <v>0</v>
      </c>
      <c r="AY23" s="178">
        <f>Т!AY23</f>
        <v>0</v>
      </c>
      <c r="AZ23" s="178">
        <f>Т!AZ23</f>
        <v>0</v>
      </c>
      <c r="BA23" s="178">
        <f>Т!BA23</f>
        <v>0</v>
      </c>
      <c r="BB23" s="178">
        <f>Т!BB23</f>
        <v>0</v>
      </c>
      <c r="BC23" s="178">
        <f>Т!BC23</f>
        <v>0</v>
      </c>
      <c r="BD23" s="178">
        <f>Т!BD23</f>
        <v>0</v>
      </c>
      <c r="BE23" s="178">
        <f>Т!BE23</f>
        <v>0</v>
      </c>
      <c r="BF23" s="178">
        <f>Т!BF23</f>
        <v>0</v>
      </c>
      <c r="BG23" s="178">
        <f>Т!BG23</f>
        <v>0</v>
      </c>
      <c r="BH23" s="179"/>
      <c r="BI23" s="179"/>
      <c r="BJ23" s="179"/>
      <c r="BK23" s="179"/>
      <c r="BL23" s="179"/>
      <c r="BM23" s="178">
        <f>Т!BM23</f>
        <v>0</v>
      </c>
      <c r="BN23" s="178">
        <f>Т!BN23</f>
        <v>0</v>
      </c>
      <c r="BO23" s="178">
        <f>Т!BO23</f>
        <v>0</v>
      </c>
      <c r="BP23" s="178">
        <f>Т!BP23</f>
        <v>0</v>
      </c>
      <c r="BQ23" s="178">
        <f>Т!BQ23</f>
        <v>0</v>
      </c>
      <c r="BR23" s="178">
        <f>Т!BR23</f>
        <v>0</v>
      </c>
      <c r="BS23" s="178">
        <f>Т!BS23</f>
        <v>0</v>
      </c>
      <c r="BT23" s="179"/>
      <c r="BU23" s="178">
        <f>Т!BU23</f>
        <v>0</v>
      </c>
      <c r="BV23" s="178">
        <f>Т!BV23</f>
        <v>0</v>
      </c>
      <c r="BW23" s="178">
        <f>Т!BW23</f>
        <v>0</v>
      </c>
      <c r="BX23" s="179"/>
      <c r="BY23" s="179"/>
      <c r="BZ23" s="179"/>
      <c r="CA23" s="178">
        <f>Т!CA23</f>
        <v>0</v>
      </c>
      <c r="CB23" s="178">
        <f>Т!CB23</f>
        <v>0</v>
      </c>
      <c r="CC23" s="178">
        <f>Т!CC23</f>
        <v>0</v>
      </c>
      <c r="CD23" s="178">
        <f>Т!CD23</f>
        <v>0</v>
      </c>
      <c r="CE23" s="178">
        <f>Т!CE23</f>
        <v>0</v>
      </c>
      <c r="CF23" s="178">
        <f>Т!CF23</f>
        <v>0</v>
      </c>
      <c r="CG23" s="178">
        <f>Т!CG23</f>
        <v>0</v>
      </c>
      <c r="CH23" s="178">
        <f>Т!CH23</f>
        <v>0</v>
      </c>
      <c r="CI23" s="178">
        <f>Т!CI23</f>
        <v>0</v>
      </c>
      <c r="CJ23" s="178">
        <f>Т!CJ23</f>
        <v>0</v>
      </c>
      <c r="CK23" s="178">
        <f>Т!CK23</f>
        <v>0</v>
      </c>
      <c r="CL23" s="178">
        <f>Т!CL23</f>
        <v>0</v>
      </c>
      <c r="CM23" s="178">
        <f>Т!CM23</f>
        <v>0</v>
      </c>
      <c r="CN23" s="178">
        <f>Т!CN23</f>
        <v>0</v>
      </c>
      <c r="CO23" s="178">
        <f>Т!CO23</f>
        <v>0</v>
      </c>
      <c r="CP23" s="179"/>
      <c r="CQ23" s="179"/>
      <c r="CR23" s="179"/>
      <c r="CS23" s="179"/>
      <c r="CT23" s="179"/>
      <c r="CU23" s="178">
        <f>Т!CU23</f>
        <v>0</v>
      </c>
      <c r="CV23" s="178">
        <f>Т!CV23</f>
        <v>0</v>
      </c>
      <c r="CW23" s="178">
        <f>Т!CW23</f>
        <v>0</v>
      </c>
      <c r="CX23" s="178">
        <f>Т!CX23</f>
        <v>0</v>
      </c>
      <c r="CY23" s="178">
        <f>Т!CY23</f>
        <v>0</v>
      </c>
      <c r="CZ23" s="178">
        <f>Т!CZ23</f>
        <v>0</v>
      </c>
      <c r="DA23" s="178">
        <f>Т!DA23</f>
        <v>0</v>
      </c>
      <c r="DB23" s="179"/>
      <c r="DC23" s="178">
        <f>Т!DC23</f>
        <v>0</v>
      </c>
      <c r="DD23" s="178">
        <f>Т!DD23</f>
        <v>0</v>
      </c>
      <c r="DE23" s="178">
        <f>Т!DE23</f>
        <v>0</v>
      </c>
      <c r="DF23" s="179"/>
      <c r="DG23" s="179"/>
      <c r="DH23" s="179"/>
      <c r="DI23" s="178">
        <f>Т!DI23</f>
        <v>0</v>
      </c>
      <c r="DJ23" s="178">
        <f>Т!DJ23</f>
        <v>0</v>
      </c>
      <c r="DK23" s="178">
        <f>Т!DK23</f>
        <v>0</v>
      </c>
      <c r="DL23" s="178">
        <f>Т!DL23</f>
        <v>0</v>
      </c>
      <c r="DM23" s="178">
        <f>Т!DM23</f>
        <v>0</v>
      </c>
      <c r="DN23" s="178">
        <f>Т!DN23</f>
        <v>0</v>
      </c>
      <c r="DO23" s="178">
        <f>Т!DO23</f>
        <v>0</v>
      </c>
      <c r="DP23" s="178">
        <f>Т!DP23</f>
        <v>0</v>
      </c>
      <c r="DQ23" s="178">
        <f>Т!DQ23</f>
        <v>0</v>
      </c>
      <c r="DR23" s="178">
        <f>Т!DR23</f>
        <v>0</v>
      </c>
      <c r="DS23" s="178">
        <f>Т!DS23</f>
        <v>0</v>
      </c>
      <c r="DT23" s="178">
        <f>Т!DT23</f>
        <v>0</v>
      </c>
      <c r="DU23" s="178">
        <f>Т!DU23</f>
        <v>0</v>
      </c>
      <c r="DV23" s="178">
        <f>Т!DV23</f>
        <v>0</v>
      </c>
      <c r="DW23" s="178">
        <f>Т!DW23</f>
        <v>0</v>
      </c>
      <c r="DX23" s="179"/>
      <c r="DY23" s="179"/>
      <c r="DZ23" s="179"/>
      <c r="EA23" s="179"/>
      <c r="EB23" s="179"/>
      <c r="EC23" s="178">
        <f>Т!EC23</f>
        <v>0</v>
      </c>
      <c r="ED23" s="178">
        <f>Т!ED23</f>
        <v>0</v>
      </c>
      <c r="EE23" s="178">
        <f>Т!EE23</f>
        <v>0</v>
      </c>
      <c r="EF23" s="178">
        <f>Т!EF23</f>
        <v>0</v>
      </c>
      <c r="EG23" s="178">
        <f>Т!EG23</f>
        <v>0</v>
      </c>
      <c r="EH23" s="178">
        <f>Т!EH23</f>
        <v>0</v>
      </c>
      <c r="EI23" s="178">
        <f>Т!EI23</f>
        <v>0</v>
      </c>
      <c r="EJ23" s="179"/>
      <c r="EK23" s="178">
        <f>Т!EK23</f>
        <v>0</v>
      </c>
      <c r="EL23" s="178">
        <f>Т!EL23</f>
        <v>0</v>
      </c>
      <c r="EM23" s="178">
        <f>Т!EM23</f>
        <v>0</v>
      </c>
      <c r="EN23" s="179"/>
      <c r="EO23" s="179"/>
      <c r="EP23" s="179"/>
      <c r="EQ23" s="178">
        <f>Т!EQ23</f>
        <v>0</v>
      </c>
      <c r="ER23" s="178">
        <f>Т!ER23</f>
        <v>0</v>
      </c>
      <c r="ES23" s="178">
        <f>Т!ES23</f>
        <v>0</v>
      </c>
      <c r="ET23" s="178">
        <f>Т!ET23</f>
        <v>0</v>
      </c>
      <c r="EU23" s="178">
        <f>Т!EU23</f>
        <v>0</v>
      </c>
      <c r="EV23" s="178">
        <f>Т!EV23</f>
        <v>0</v>
      </c>
      <c r="EW23" s="178">
        <f>Т!EW23</f>
        <v>0</v>
      </c>
      <c r="EX23" s="178">
        <f>Т!EX23</f>
        <v>0</v>
      </c>
      <c r="EY23" s="178">
        <f>Т!EY23</f>
        <v>0</v>
      </c>
      <c r="EZ23" s="178">
        <f>Т!EZ23</f>
        <v>0</v>
      </c>
      <c r="FA23" s="178">
        <f>Т!FA23</f>
        <v>0</v>
      </c>
      <c r="FB23" s="178">
        <f>Т!FB23</f>
        <v>0</v>
      </c>
      <c r="FC23" s="178">
        <f>Т!FC23</f>
        <v>0</v>
      </c>
      <c r="FD23" s="178">
        <f>Т!FD23</f>
        <v>0</v>
      </c>
      <c r="FE23" s="178">
        <f>Т!FE23</f>
        <v>0</v>
      </c>
      <c r="FF23" s="179"/>
      <c r="FG23" s="179"/>
      <c r="FH23" s="179"/>
      <c r="FI23" s="179"/>
      <c r="FJ23" s="179"/>
      <c r="FK23" s="229"/>
      <c r="FL23" s="176"/>
      <c r="FM23" s="176"/>
      <c r="FN23" s="176"/>
      <c r="FO23" s="371"/>
      <c r="FP23" s="372" t="str">
        <f>IF(PLAN_201X!$B13="12",IF(PLAN_201X!$H13="","",PLAN_201X!$H13),"")</f>
        <v/>
      </c>
      <c r="FQ23" s="372" t="str">
        <f>IF(PLAN_201X!$B13="12",IF(PLAN_201X!$I13="","",PLAN_201X!$I13),"")</f>
        <v/>
      </c>
      <c r="FR23" s="372" t="str">
        <f>IF(PLAN_201X!$B13="12",IF(PLAN_201X!$J13="","",PLAN_201X!$J13),"")</f>
        <v/>
      </c>
      <c r="FS23" s="171"/>
      <c r="FT23" s="221" t="s">
        <v>1744</v>
      </c>
      <c r="FU23" s="221" t="str">
        <f t="shared" ref="FU23:FU28" si="4">FT23</f>
        <v>Дрова</v>
      </c>
      <c r="FV23" s="230">
        <f>SUMIF(PLAN_201X!$B$2:$B$19,PLAN_201X!$B13,PLAN_201X!C$2:C$19)</f>
        <v>0</v>
      </c>
      <c r="FW23" s="230">
        <f>SUMIF(PLAN_201X!$B$2:$B$19,PLAN_201X!$B13,PLAN_201X!D$2:D$19)</f>
        <v>0</v>
      </c>
      <c r="FX23" s="230">
        <f>SUMIF(PLAN_201X!$B$2:$B$19,PLAN_201X!$B13,PLAN_201X!E$2:E$19)</f>
        <v>0</v>
      </c>
      <c r="FY23" s="83"/>
      <c r="FZ23" s="59"/>
    </row>
    <row r="24" spans="6:182" s="58" customFormat="1" ht="12" customHeight="1">
      <c r="F24" s="59"/>
      <c r="G24" s="59"/>
      <c r="H24" s="59"/>
      <c r="I24" s="82"/>
      <c r="J24" s="82"/>
      <c r="K24" s="82"/>
      <c r="L24" s="59"/>
      <c r="M24" s="59"/>
      <c r="N24" s="59"/>
      <c r="O24" s="336" t="s">
        <v>26</v>
      </c>
      <c r="P24" s="337" t="str">
        <f t="shared" si="3"/>
        <v>Пеллеты</v>
      </c>
      <c r="Q24" s="175">
        <f>SUMIF(PLAN_201X!$B$2:$B$19,PLAN_201X!$B14,PLAN_201X!C$2:C$19)</f>
        <v>0</v>
      </c>
      <c r="R24" s="175">
        <f>SUMIF(PLAN_201X!$B$2:$B$19,PLAN_201X!$B14,PLAN_201X!D$2:D$19)</f>
        <v>0</v>
      </c>
      <c r="S24" s="175">
        <f>SUMIF(PLAN_201X!$B$2:$B$19,PLAN_201X!$B14,PLAN_201X!E$2:E$19)</f>
        <v>0</v>
      </c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7" t="str">
        <f t="shared" ref="AD24:AD29" si="5">AC24 &amp; " :: ACTI"</f>
        <v xml:space="preserve"> :: ACTI</v>
      </c>
      <c r="AE24" s="178">
        <f>Т!AE24</f>
        <v>0</v>
      </c>
      <c r="AF24" s="178">
        <f>Т!AF24</f>
        <v>0</v>
      </c>
      <c r="AG24" s="178">
        <f>Т!AG24</f>
        <v>0</v>
      </c>
      <c r="AH24" s="178">
        <f>Т!AH24</f>
        <v>0</v>
      </c>
      <c r="AI24" s="178">
        <f>Т!AI24</f>
        <v>0</v>
      </c>
      <c r="AJ24" s="178">
        <f>Т!AJ24</f>
        <v>0</v>
      </c>
      <c r="AK24" s="178">
        <f>Т!AK24</f>
        <v>0</v>
      </c>
      <c r="AL24" s="179"/>
      <c r="AM24" s="178">
        <f>Т!AM24</f>
        <v>0</v>
      </c>
      <c r="AN24" s="178">
        <f>Т!AN24</f>
        <v>0</v>
      </c>
      <c r="AO24" s="178">
        <f>Т!AO24</f>
        <v>0</v>
      </c>
      <c r="AP24" s="179"/>
      <c r="AQ24" s="179"/>
      <c r="AR24" s="179"/>
      <c r="AS24" s="178">
        <f>Т!AS24</f>
        <v>0</v>
      </c>
      <c r="AT24" s="178">
        <f>Т!AT24</f>
        <v>0</v>
      </c>
      <c r="AU24" s="178">
        <f>Т!AU24</f>
        <v>0</v>
      </c>
      <c r="AV24" s="178">
        <f>Т!AV24</f>
        <v>0</v>
      </c>
      <c r="AW24" s="178">
        <f>Т!AW24</f>
        <v>0</v>
      </c>
      <c r="AX24" s="178">
        <f>Т!AX24</f>
        <v>0</v>
      </c>
      <c r="AY24" s="178">
        <f>Т!AY24</f>
        <v>0</v>
      </c>
      <c r="AZ24" s="178">
        <f>Т!AZ24</f>
        <v>0</v>
      </c>
      <c r="BA24" s="178">
        <f>Т!BA24</f>
        <v>0</v>
      </c>
      <c r="BB24" s="178">
        <f>Т!BB24</f>
        <v>0</v>
      </c>
      <c r="BC24" s="178">
        <f>Т!BC24</f>
        <v>0</v>
      </c>
      <c r="BD24" s="178">
        <f>Т!BD24</f>
        <v>0</v>
      </c>
      <c r="BE24" s="178">
        <f>Т!BE24</f>
        <v>0</v>
      </c>
      <c r="BF24" s="178">
        <f>Т!BF24</f>
        <v>0</v>
      </c>
      <c r="BG24" s="178">
        <f>Т!BG24</f>
        <v>0</v>
      </c>
      <c r="BH24" s="179"/>
      <c r="BI24" s="179"/>
      <c r="BJ24" s="179"/>
      <c r="BK24" s="179"/>
      <c r="BL24" s="179"/>
      <c r="BM24" s="178">
        <f>Т!BM24</f>
        <v>0</v>
      </c>
      <c r="BN24" s="178">
        <f>Т!BN24</f>
        <v>0</v>
      </c>
      <c r="BO24" s="178">
        <f>Т!BO24</f>
        <v>0</v>
      </c>
      <c r="BP24" s="178">
        <f>Т!BP24</f>
        <v>0</v>
      </c>
      <c r="BQ24" s="178">
        <f>Т!BQ24</f>
        <v>0</v>
      </c>
      <c r="BR24" s="178">
        <f>Т!BR24</f>
        <v>0</v>
      </c>
      <c r="BS24" s="178">
        <f>Т!BS24</f>
        <v>0</v>
      </c>
      <c r="BT24" s="179"/>
      <c r="BU24" s="178">
        <f>Т!BU24</f>
        <v>0</v>
      </c>
      <c r="BV24" s="178">
        <f>Т!BV24</f>
        <v>0</v>
      </c>
      <c r="BW24" s="178">
        <f>Т!BW24</f>
        <v>0</v>
      </c>
      <c r="BX24" s="179"/>
      <c r="BY24" s="179"/>
      <c r="BZ24" s="179"/>
      <c r="CA24" s="178">
        <f>Т!CA24</f>
        <v>0</v>
      </c>
      <c r="CB24" s="178">
        <f>Т!CB24</f>
        <v>0</v>
      </c>
      <c r="CC24" s="178">
        <f>Т!CC24</f>
        <v>0</v>
      </c>
      <c r="CD24" s="178">
        <f>Т!CD24</f>
        <v>0</v>
      </c>
      <c r="CE24" s="178">
        <f>Т!CE24</f>
        <v>0</v>
      </c>
      <c r="CF24" s="178">
        <f>Т!CF24</f>
        <v>0</v>
      </c>
      <c r="CG24" s="178">
        <f>Т!CG24</f>
        <v>0</v>
      </c>
      <c r="CH24" s="178">
        <f>Т!CH24</f>
        <v>0</v>
      </c>
      <c r="CI24" s="178">
        <f>Т!CI24</f>
        <v>0</v>
      </c>
      <c r="CJ24" s="178">
        <f>Т!CJ24</f>
        <v>0</v>
      </c>
      <c r="CK24" s="178">
        <f>Т!CK24</f>
        <v>0</v>
      </c>
      <c r="CL24" s="178">
        <f>Т!CL24</f>
        <v>0</v>
      </c>
      <c r="CM24" s="178">
        <f>Т!CM24</f>
        <v>0</v>
      </c>
      <c r="CN24" s="178">
        <f>Т!CN24</f>
        <v>0</v>
      </c>
      <c r="CO24" s="178">
        <f>Т!CO24</f>
        <v>0</v>
      </c>
      <c r="CP24" s="179"/>
      <c r="CQ24" s="179"/>
      <c r="CR24" s="179"/>
      <c r="CS24" s="179"/>
      <c r="CT24" s="179"/>
      <c r="CU24" s="178">
        <f>Т!CU24</f>
        <v>0</v>
      </c>
      <c r="CV24" s="178">
        <f>Т!CV24</f>
        <v>0</v>
      </c>
      <c r="CW24" s="178">
        <f>Т!CW24</f>
        <v>0</v>
      </c>
      <c r="CX24" s="178">
        <f>Т!CX24</f>
        <v>0</v>
      </c>
      <c r="CY24" s="178">
        <f>Т!CY24</f>
        <v>0</v>
      </c>
      <c r="CZ24" s="178">
        <f>Т!CZ24</f>
        <v>0</v>
      </c>
      <c r="DA24" s="178">
        <f>Т!DA24</f>
        <v>0</v>
      </c>
      <c r="DB24" s="179"/>
      <c r="DC24" s="178">
        <f>Т!DC24</f>
        <v>0</v>
      </c>
      <c r="DD24" s="178">
        <f>Т!DD24</f>
        <v>0</v>
      </c>
      <c r="DE24" s="178">
        <f>Т!DE24</f>
        <v>0</v>
      </c>
      <c r="DF24" s="179"/>
      <c r="DG24" s="179"/>
      <c r="DH24" s="179"/>
      <c r="DI24" s="178">
        <f>Т!DI24</f>
        <v>0</v>
      </c>
      <c r="DJ24" s="178">
        <f>Т!DJ24</f>
        <v>0</v>
      </c>
      <c r="DK24" s="178">
        <f>Т!DK24</f>
        <v>0</v>
      </c>
      <c r="DL24" s="178">
        <f>Т!DL24</f>
        <v>0</v>
      </c>
      <c r="DM24" s="178">
        <f>Т!DM24</f>
        <v>0</v>
      </c>
      <c r="DN24" s="178">
        <f>Т!DN24</f>
        <v>0</v>
      </c>
      <c r="DO24" s="178">
        <f>Т!DO24</f>
        <v>0</v>
      </c>
      <c r="DP24" s="178">
        <f>Т!DP24</f>
        <v>0</v>
      </c>
      <c r="DQ24" s="178">
        <f>Т!DQ24</f>
        <v>0</v>
      </c>
      <c r="DR24" s="178">
        <f>Т!DR24</f>
        <v>0</v>
      </c>
      <c r="DS24" s="178">
        <f>Т!DS24</f>
        <v>0</v>
      </c>
      <c r="DT24" s="178">
        <f>Т!DT24</f>
        <v>0</v>
      </c>
      <c r="DU24" s="178">
        <f>Т!DU24</f>
        <v>0</v>
      </c>
      <c r="DV24" s="178">
        <f>Т!DV24</f>
        <v>0</v>
      </c>
      <c r="DW24" s="178">
        <f>Т!DW24</f>
        <v>0</v>
      </c>
      <c r="DX24" s="179"/>
      <c r="DY24" s="179"/>
      <c r="DZ24" s="179"/>
      <c r="EA24" s="179"/>
      <c r="EB24" s="179"/>
      <c r="EC24" s="178">
        <f>Т!EC24</f>
        <v>0</v>
      </c>
      <c r="ED24" s="178">
        <f>Т!ED24</f>
        <v>0</v>
      </c>
      <c r="EE24" s="178">
        <f>Т!EE24</f>
        <v>0</v>
      </c>
      <c r="EF24" s="178">
        <f>Т!EF24</f>
        <v>0</v>
      </c>
      <c r="EG24" s="178">
        <f>Т!EG24</f>
        <v>0</v>
      </c>
      <c r="EH24" s="178">
        <f>Т!EH24</f>
        <v>0</v>
      </c>
      <c r="EI24" s="178">
        <f>Т!EI24</f>
        <v>0</v>
      </c>
      <c r="EJ24" s="179"/>
      <c r="EK24" s="178">
        <f>Т!EK24</f>
        <v>0</v>
      </c>
      <c r="EL24" s="178">
        <f>Т!EL24</f>
        <v>0</v>
      </c>
      <c r="EM24" s="178">
        <f>Т!EM24</f>
        <v>0</v>
      </c>
      <c r="EN24" s="179"/>
      <c r="EO24" s="179"/>
      <c r="EP24" s="179"/>
      <c r="EQ24" s="178">
        <f>Т!EQ24</f>
        <v>0</v>
      </c>
      <c r="ER24" s="178">
        <f>Т!ER24</f>
        <v>0</v>
      </c>
      <c r="ES24" s="178">
        <f>Т!ES24</f>
        <v>0</v>
      </c>
      <c r="ET24" s="178">
        <f>Т!ET24</f>
        <v>0</v>
      </c>
      <c r="EU24" s="178">
        <f>Т!EU24</f>
        <v>0</v>
      </c>
      <c r="EV24" s="178">
        <f>Т!EV24</f>
        <v>0</v>
      </c>
      <c r="EW24" s="178">
        <f>Т!EW24</f>
        <v>0</v>
      </c>
      <c r="EX24" s="178">
        <f>Т!EX24</f>
        <v>0</v>
      </c>
      <c r="EY24" s="178">
        <f>Т!EY24</f>
        <v>0</v>
      </c>
      <c r="EZ24" s="178">
        <f>Т!EZ24</f>
        <v>0</v>
      </c>
      <c r="FA24" s="178">
        <f>Т!FA24</f>
        <v>0</v>
      </c>
      <c r="FB24" s="178">
        <f>Т!FB24</f>
        <v>0</v>
      </c>
      <c r="FC24" s="178">
        <f>Т!FC24</f>
        <v>0</v>
      </c>
      <c r="FD24" s="178">
        <f>Т!FD24</f>
        <v>0</v>
      </c>
      <c r="FE24" s="178">
        <f>Т!FE24</f>
        <v>0</v>
      </c>
      <c r="FF24" s="179"/>
      <c r="FG24" s="179"/>
      <c r="FH24" s="179"/>
      <c r="FI24" s="179"/>
      <c r="FJ24" s="179"/>
      <c r="FK24" s="229"/>
      <c r="FL24" s="176"/>
      <c r="FM24" s="176"/>
      <c r="FN24" s="176"/>
      <c r="FO24" s="371"/>
      <c r="FP24" s="372" t="str">
        <f>IF(PLAN_201X!$B14="13",IF(PLAN_201X!$H14="","",PLAN_201X!$H14),"")</f>
        <v/>
      </c>
      <c r="FQ24" s="372" t="str">
        <f>IF(PLAN_201X!$B14="13",IF(PLAN_201X!$I14="","",PLAN_201X!$I14),"")</f>
        <v/>
      </c>
      <c r="FR24" s="372" t="str">
        <f>IF(PLAN_201X!$B14="13",IF(PLAN_201X!$J14="","",PLAN_201X!$J14),"")</f>
        <v/>
      </c>
      <c r="FS24" s="171"/>
      <c r="FT24" s="221" t="s">
        <v>26</v>
      </c>
      <c r="FU24" s="221" t="str">
        <f t="shared" si="4"/>
        <v>Пеллеты</v>
      </c>
      <c r="FV24" s="230">
        <f>SUMIF(PLAN_201X!$B$2:$B$19,PLAN_201X!$B14,PLAN_201X!C$2:C$19)</f>
        <v>0</v>
      </c>
      <c r="FW24" s="230">
        <f>SUMIF(PLAN_201X!$B$2:$B$19,PLAN_201X!$B14,PLAN_201X!D$2:D$19)</f>
        <v>0</v>
      </c>
      <c r="FX24" s="230">
        <f>SUMIF(PLAN_201X!$B$2:$B$19,PLAN_201X!$B14,PLAN_201X!E$2:E$19)</f>
        <v>0</v>
      </c>
      <c r="FY24" s="83"/>
      <c r="FZ24" s="59"/>
    </row>
    <row r="25" spans="6:182" s="58" customFormat="1" ht="12" customHeight="1">
      <c r="F25" s="59"/>
      <c r="G25" s="59"/>
      <c r="H25" s="59"/>
      <c r="I25" s="82"/>
      <c r="J25" s="82"/>
      <c r="K25" s="82"/>
      <c r="L25" s="59"/>
      <c r="M25" s="59"/>
      <c r="N25" s="59"/>
      <c r="O25" s="336" t="s">
        <v>1745</v>
      </c>
      <c r="P25" s="337" t="str">
        <f t="shared" si="3"/>
        <v>Опилки</v>
      </c>
      <c r="Q25" s="175">
        <f>SUMIF(PLAN_201X!$B$2:$B$19,PLAN_201X!$B15,PLAN_201X!C$2:C$19)</f>
        <v>0</v>
      </c>
      <c r="R25" s="175">
        <f>SUMIF(PLAN_201X!$B$2:$B$19,PLAN_201X!$B15,PLAN_201X!D$2:D$19)</f>
        <v>0</v>
      </c>
      <c r="S25" s="175">
        <f>SUMIF(PLAN_201X!$B$2:$B$19,PLAN_201X!$B15,PLAN_201X!E$2:E$19)</f>
        <v>0</v>
      </c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7" t="str">
        <f t="shared" si="5"/>
        <v xml:space="preserve"> :: ACTI</v>
      </c>
      <c r="AE25" s="178">
        <f>Т!AE25</f>
        <v>0</v>
      </c>
      <c r="AF25" s="178">
        <f>Т!AF25</f>
        <v>0</v>
      </c>
      <c r="AG25" s="178">
        <f>Т!AG25</f>
        <v>0</v>
      </c>
      <c r="AH25" s="178">
        <f>Т!AH25</f>
        <v>0</v>
      </c>
      <c r="AI25" s="178">
        <f>Т!AI25</f>
        <v>0</v>
      </c>
      <c r="AJ25" s="178">
        <f>Т!AJ25</f>
        <v>0</v>
      </c>
      <c r="AK25" s="178">
        <f>Т!AK25</f>
        <v>0</v>
      </c>
      <c r="AL25" s="179"/>
      <c r="AM25" s="178">
        <f>Т!AM25</f>
        <v>0</v>
      </c>
      <c r="AN25" s="178">
        <f>Т!AN25</f>
        <v>0</v>
      </c>
      <c r="AO25" s="178">
        <f>Т!AO25</f>
        <v>0</v>
      </c>
      <c r="AP25" s="179"/>
      <c r="AQ25" s="179"/>
      <c r="AR25" s="179"/>
      <c r="AS25" s="178">
        <f>Т!AS25</f>
        <v>0</v>
      </c>
      <c r="AT25" s="178">
        <f>Т!AT25</f>
        <v>0</v>
      </c>
      <c r="AU25" s="178">
        <f>Т!AU25</f>
        <v>0</v>
      </c>
      <c r="AV25" s="178">
        <f>Т!AV25</f>
        <v>0</v>
      </c>
      <c r="AW25" s="178">
        <f>Т!AW25</f>
        <v>0</v>
      </c>
      <c r="AX25" s="178">
        <f>Т!AX25</f>
        <v>0</v>
      </c>
      <c r="AY25" s="178">
        <f>Т!AY25</f>
        <v>0</v>
      </c>
      <c r="AZ25" s="178">
        <f>Т!AZ25</f>
        <v>0</v>
      </c>
      <c r="BA25" s="178">
        <f>Т!BA25</f>
        <v>0</v>
      </c>
      <c r="BB25" s="178">
        <f>Т!BB25</f>
        <v>0</v>
      </c>
      <c r="BC25" s="178">
        <f>Т!BC25</f>
        <v>0</v>
      </c>
      <c r="BD25" s="178">
        <f>Т!BD25</f>
        <v>0</v>
      </c>
      <c r="BE25" s="178">
        <f>Т!BE25</f>
        <v>0</v>
      </c>
      <c r="BF25" s="178">
        <f>Т!BF25</f>
        <v>0</v>
      </c>
      <c r="BG25" s="178">
        <f>Т!BG25</f>
        <v>0</v>
      </c>
      <c r="BH25" s="179"/>
      <c r="BI25" s="179"/>
      <c r="BJ25" s="179"/>
      <c r="BK25" s="179"/>
      <c r="BL25" s="179"/>
      <c r="BM25" s="178">
        <f>Т!BM25</f>
        <v>0</v>
      </c>
      <c r="BN25" s="178">
        <f>Т!BN25</f>
        <v>0</v>
      </c>
      <c r="BO25" s="178">
        <f>Т!BO25</f>
        <v>0</v>
      </c>
      <c r="BP25" s="178">
        <f>Т!BP25</f>
        <v>0</v>
      </c>
      <c r="BQ25" s="178">
        <f>Т!BQ25</f>
        <v>0</v>
      </c>
      <c r="BR25" s="178">
        <f>Т!BR25</f>
        <v>0</v>
      </c>
      <c r="BS25" s="178">
        <f>Т!BS25</f>
        <v>0</v>
      </c>
      <c r="BT25" s="179"/>
      <c r="BU25" s="178">
        <f>Т!BU25</f>
        <v>0</v>
      </c>
      <c r="BV25" s="178">
        <f>Т!BV25</f>
        <v>0</v>
      </c>
      <c r="BW25" s="178">
        <f>Т!BW25</f>
        <v>0</v>
      </c>
      <c r="BX25" s="179"/>
      <c r="BY25" s="179"/>
      <c r="BZ25" s="179"/>
      <c r="CA25" s="178">
        <f>Т!CA25</f>
        <v>0</v>
      </c>
      <c r="CB25" s="178">
        <f>Т!CB25</f>
        <v>0</v>
      </c>
      <c r="CC25" s="178">
        <f>Т!CC25</f>
        <v>0</v>
      </c>
      <c r="CD25" s="178">
        <f>Т!CD25</f>
        <v>0</v>
      </c>
      <c r="CE25" s="178">
        <f>Т!CE25</f>
        <v>0</v>
      </c>
      <c r="CF25" s="178">
        <f>Т!CF25</f>
        <v>0</v>
      </c>
      <c r="CG25" s="178">
        <f>Т!CG25</f>
        <v>0</v>
      </c>
      <c r="CH25" s="178">
        <f>Т!CH25</f>
        <v>0</v>
      </c>
      <c r="CI25" s="178">
        <f>Т!CI25</f>
        <v>0</v>
      </c>
      <c r="CJ25" s="178">
        <f>Т!CJ25</f>
        <v>0</v>
      </c>
      <c r="CK25" s="178">
        <f>Т!CK25</f>
        <v>0</v>
      </c>
      <c r="CL25" s="178">
        <f>Т!CL25</f>
        <v>0</v>
      </c>
      <c r="CM25" s="178">
        <f>Т!CM25</f>
        <v>0</v>
      </c>
      <c r="CN25" s="178">
        <f>Т!CN25</f>
        <v>0</v>
      </c>
      <c r="CO25" s="178">
        <f>Т!CO25</f>
        <v>0</v>
      </c>
      <c r="CP25" s="179"/>
      <c r="CQ25" s="179"/>
      <c r="CR25" s="179"/>
      <c r="CS25" s="179"/>
      <c r="CT25" s="179"/>
      <c r="CU25" s="178">
        <f>Т!CU25</f>
        <v>0</v>
      </c>
      <c r="CV25" s="178">
        <f>Т!CV25</f>
        <v>0</v>
      </c>
      <c r="CW25" s="178">
        <f>Т!CW25</f>
        <v>0</v>
      </c>
      <c r="CX25" s="178">
        <f>Т!CX25</f>
        <v>0</v>
      </c>
      <c r="CY25" s="178">
        <f>Т!CY25</f>
        <v>0</v>
      </c>
      <c r="CZ25" s="178">
        <f>Т!CZ25</f>
        <v>0</v>
      </c>
      <c r="DA25" s="178">
        <f>Т!DA25</f>
        <v>0</v>
      </c>
      <c r="DB25" s="179"/>
      <c r="DC25" s="178">
        <f>Т!DC25</f>
        <v>0</v>
      </c>
      <c r="DD25" s="178">
        <f>Т!DD25</f>
        <v>0</v>
      </c>
      <c r="DE25" s="178">
        <f>Т!DE25</f>
        <v>0</v>
      </c>
      <c r="DF25" s="179"/>
      <c r="DG25" s="179"/>
      <c r="DH25" s="179"/>
      <c r="DI25" s="178">
        <f>Т!DI25</f>
        <v>0</v>
      </c>
      <c r="DJ25" s="178">
        <f>Т!DJ25</f>
        <v>0</v>
      </c>
      <c r="DK25" s="178">
        <f>Т!DK25</f>
        <v>0</v>
      </c>
      <c r="DL25" s="178">
        <f>Т!DL25</f>
        <v>0</v>
      </c>
      <c r="DM25" s="178">
        <f>Т!DM25</f>
        <v>0</v>
      </c>
      <c r="DN25" s="178">
        <f>Т!DN25</f>
        <v>0</v>
      </c>
      <c r="DO25" s="178">
        <f>Т!DO25</f>
        <v>0</v>
      </c>
      <c r="DP25" s="178">
        <f>Т!DP25</f>
        <v>0</v>
      </c>
      <c r="DQ25" s="178">
        <f>Т!DQ25</f>
        <v>0</v>
      </c>
      <c r="DR25" s="178">
        <f>Т!DR25</f>
        <v>0</v>
      </c>
      <c r="DS25" s="178">
        <f>Т!DS25</f>
        <v>0</v>
      </c>
      <c r="DT25" s="178">
        <f>Т!DT25</f>
        <v>0</v>
      </c>
      <c r="DU25" s="178">
        <f>Т!DU25</f>
        <v>0</v>
      </c>
      <c r="DV25" s="178">
        <f>Т!DV25</f>
        <v>0</v>
      </c>
      <c r="DW25" s="178">
        <f>Т!DW25</f>
        <v>0</v>
      </c>
      <c r="DX25" s="179"/>
      <c r="DY25" s="179"/>
      <c r="DZ25" s="179"/>
      <c r="EA25" s="179"/>
      <c r="EB25" s="179"/>
      <c r="EC25" s="178">
        <f>Т!EC25</f>
        <v>0</v>
      </c>
      <c r="ED25" s="178">
        <f>Т!ED25</f>
        <v>0</v>
      </c>
      <c r="EE25" s="178">
        <f>Т!EE25</f>
        <v>0</v>
      </c>
      <c r="EF25" s="178">
        <f>Т!EF25</f>
        <v>0</v>
      </c>
      <c r="EG25" s="178">
        <f>Т!EG25</f>
        <v>0</v>
      </c>
      <c r="EH25" s="178">
        <f>Т!EH25</f>
        <v>0</v>
      </c>
      <c r="EI25" s="178">
        <f>Т!EI25</f>
        <v>0</v>
      </c>
      <c r="EJ25" s="179"/>
      <c r="EK25" s="178">
        <f>Т!EK25</f>
        <v>0</v>
      </c>
      <c r="EL25" s="178">
        <f>Т!EL25</f>
        <v>0</v>
      </c>
      <c r="EM25" s="178">
        <f>Т!EM25</f>
        <v>0</v>
      </c>
      <c r="EN25" s="179"/>
      <c r="EO25" s="179"/>
      <c r="EP25" s="179"/>
      <c r="EQ25" s="178">
        <f>Т!EQ25</f>
        <v>0</v>
      </c>
      <c r="ER25" s="178">
        <f>Т!ER25</f>
        <v>0</v>
      </c>
      <c r="ES25" s="178">
        <f>Т!ES25</f>
        <v>0</v>
      </c>
      <c r="ET25" s="178">
        <f>Т!ET25</f>
        <v>0</v>
      </c>
      <c r="EU25" s="178">
        <f>Т!EU25</f>
        <v>0</v>
      </c>
      <c r="EV25" s="178">
        <f>Т!EV25</f>
        <v>0</v>
      </c>
      <c r="EW25" s="178">
        <f>Т!EW25</f>
        <v>0</v>
      </c>
      <c r="EX25" s="178">
        <f>Т!EX25</f>
        <v>0</v>
      </c>
      <c r="EY25" s="178">
        <f>Т!EY25</f>
        <v>0</v>
      </c>
      <c r="EZ25" s="178">
        <f>Т!EZ25</f>
        <v>0</v>
      </c>
      <c r="FA25" s="178">
        <f>Т!FA25</f>
        <v>0</v>
      </c>
      <c r="FB25" s="178">
        <f>Т!FB25</f>
        <v>0</v>
      </c>
      <c r="FC25" s="178">
        <f>Т!FC25</f>
        <v>0</v>
      </c>
      <c r="FD25" s="178">
        <f>Т!FD25</f>
        <v>0</v>
      </c>
      <c r="FE25" s="178">
        <f>Т!FE25</f>
        <v>0</v>
      </c>
      <c r="FF25" s="179"/>
      <c r="FG25" s="179"/>
      <c r="FH25" s="179"/>
      <c r="FI25" s="179"/>
      <c r="FJ25" s="179"/>
      <c r="FK25" s="229"/>
      <c r="FL25" s="176"/>
      <c r="FM25" s="176"/>
      <c r="FN25" s="176"/>
      <c r="FO25" s="371"/>
      <c r="FP25" s="372" t="str">
        <f>IF(PLAN_201X!$B15="14",IF(PLAN_201X!$H15="","",PLAN_201X!$H15),"")</f>
        <v/>
      </c>
      <c r="FQ25" s="372" t="str">
        <f>IF(PLAN_201X!$B15="14",IF(PLAN_201X!$I15="","",PLAN_201X!$I15),"")</f>
        <v/>
      </c>
      <c r="FR25" s="372" t="str">
        <f>IF(PLAN_201X!$B15="14",IF(PLAN_201X!$J15="","",PLAN_201X!$J15),"")</f>
        <v/>
      </c>
      <c r="FS25" s="171"/>
      <c r="FT25" s="221" t="s">
        <v>1745</v>
      </c>
      <c r="FU25" s="221" t="str">
        <f t="shared" si="4"/>
        <v>Опилки</v>
      </c>
      <c r="FV25" s="230">
        <f>SUMIF(PLAN_201X!$B$2:$B$19,PLAN_201X!$B15,PLAN_201X!C$2:C$19)</f>
        <v>0</v>
      </c>
      <c r="FW25" s="230">
        <f>SUMIF(PLAN_201X!$B$2:$B$19,PLAN_201X!$B15,PLAN_201X!D$2:D$19)</f>
        <v>0</v>
      </c>
      <c r="FX25" s="230">
        <f>SUMIF(PLAN_201X!$B$2:$B$19,PLAN_201X!$B15,PLAN_201X!E$2:E$19)</f>
        <v>0</v>
      </c>
      <c r="FY25" s="83"/>
      <c r="FZ25" s="59"/>
    </row>
    <row r="26" spans="6:182" s="58" customFormat="1" ht="12" customHeight="1">
      <c r="F26" s="59"/>
      <c r="G26" s="59"/>
      <c r="H26" s="59"/>
      <c r="I26" s="82"/>
      <c r="J26" s="82"/>
      <c r="K26" s="82"/>
      <c r="L26" s="59"/>
      <c r="M26" s="59"/>
      <c r="N26" s="59"/>
      <c r="O26" s="336" t="s">
        <v>1735</v>
      </c>
      <c r="P26" s="337" t="str">
        <f t="shared" si="3"/>
        <v>Торф</v>
      </c>
      <c r="Q26" s="175">
        <f>SUMIF(PLAN_201X!$B$2:$B$19,PLAN_201X!$B16,PLAN_201X!C$2:C$19)</f>
        <v>0</v>
      </c>
      <c r="R26" s="175">
        <f>SUMIF(PLAN_201X!$B$2:$B$19,PLAN_201X!$B16,PLAN_201X!D$2:D$19)</f>
        <v>0</v>
      </c>
      <c r="S26" s="175">
        <f>SUMIF(PLAN_201X!$B$2:$B$19,PLAN_201X!$B16,PLAN_201X!E$2:E$19)</f>
        <v>0</v>
      </c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7" t="str">
        <f t="shared" si="5"/>
        <v xml:space="preserve"> :: ACTI</v>
      </c>
      <c r="AE26" s="178">
        <f>Т!AE26</f>
        <v>0</v>
      </c>
      <c r="AF26" s="178">
        <f>Т!AF26</f>
        <v>0</v>
      </c>
      <c r="AG26" s="178">
        <f>Т!AG26</f>
        <v>0</v>
      </c>
      <c r="AH26" s="178">
        <f>Т!AH26</f>
        <v>0</v>
      </c>
      <c r="AI26" s="178">
        <f>Т!AI26</f>
        <v>0</v>
      </c>
      <c r="AJ26" s="178">
        <f>Т!AJ26</f>
        <v>0</v>
      </c>
      <c r="AK26" s="178">
        <f>Т!AK26</f>
        <v>0</v>
      </c>
      <c r="AL26" s="179"/>
      <c r="AM26" s="178">
        <f>Т!AM26</f>
        <v>0</v>
      </c>
      <c r="AN26" s="178">
        <f>Т!AN26</f>
        <v>0</v>
      </c>
      <c r="AO26" s="178">
        <f>Т!AO26</f>
        <v>0</v>
      </c>
      <c r="AP26" s="179"/>
      <c r="AQ26" s="179"/>
      <c r="AR26" s="179"/>
      <c r="AS26" s="178">
        <f>Т!AS26</f>
        <v>0</v>
      </c>
      <c r="AT26" s="178">
        <f>Т!AT26</f>
        <v>0</v>
      </c>
      <c r="AU26" s="178">
        <f>Т!AU26</f>
        <v>0</v>
      </c>
      <c r="AV26" s="178">
        <f>Т!AV26</f>
        <v>0</v>
      </c>
      <c r="AW26" s="178">
        <f>Т!AW26</f>
        <v>0</v>
      </c>
      <c r="AX26" s="178">
        <f>Т!AX26</f>
        <v>0</v>
      </c>
      <c r="AY26" s="178">
        <f>Т!AY26</f>
        <v>0</v>
      </c>
      <c r="AZ26" s="178">
        <f>Т!AZ26</f>
        <v>0</v>
      </c>
      <c r="BA26" s="178">
        <f>Т!BA26</f>
        <v>0</v>
      </c>
      <c r="BB26" s="178">
        <f>Т!BB26</f>
        <v>0</v>
      </c>
      <c r="BC26" s="178">
        <f>Т!BC26</f>
        <v>0</v>
      </c>
      <c r="BD26" s="178">
        <f>Т!BD26</f>
        <v>0</v>
      </c>
      <c r="BE26" s="178">
        <f>Т!BE26</f>
        <v>0</v>
      </c>
      <c r="BF26" s="178">
        <f>Т!BF26</f>
        <v>0</v>
      </c>
      <c r="BG26" s="178">
        <f>Т!BG26</f>
        <v>0</v>
      </c>
      <c r="BH26" s="179"/>
      <c r="BI26" s="179"/>
      <c r="BJ26" s="179"/>
      <c r="BK26" s="179"/>
      <c r="BL26" s="179"/>
      <c r="BM26" s="178">
        <f>Т!BM26</f>
        <v>0</v>
      </c>
      <c r="BN26" s="178">
        <f>Т!BN26</f>
        <v>0</v>
      </c>
      <c r="BO26" s="178">
        <f>Т!BO26</f>
        <v>0</v>
      </c>
      <c r="BP26" s="178">
        <f>Т!BP26</f>
        <v>0</v>
      </c>
      <c r="BQ26" s="178">
        <f>Т!BQ26</f>
        <v>0</v>
      </c>
      <c r="BR26" s="178">
        <f>Т!BR26</f>
        <v>0</v>
      </c>
      <c r="BS26" s="178">
        <f>Т!BS26</f>
        <v>0</v>
      </c>
      <c r="BT26" s="179"/>
      <c r="BU26" s="178">
        <f>Т!BU26</f>
        <v>0</v>
      </c>
      <c r="BV26" s="178">
        <f>Т!BV26</f>
        <v>0</v>
      </c>
      <c r="BW26" s="178">
        <f>Т!BW26</f>
        <v>0</v>
      </c>
      <c r="BX26" s="179"/>
      <c r="BY26" s="179"/>
      <c r="BZ26" s="179"/>
      <c r="CA26" s="178">
        <f>Т!CA26</f>
        <v>0</v>
      </c>
      <c r="CB26" s="178">
        <f>Т!CB26</f>
        <v>0</v>
      </c>
      <c r="CC26" s="178">
        <f>Т!CC26</f>
        <v>0</v>
      </c>
      <c r="CD26" s="178">
        <f>Т!CD26</f>
        <v>0</v>
      </c>
      <c r="CE26" s="178">
        <f>Т!CE26</f>
        <v>0</v>
      </c>
      <c r="CF26" s="178">
        <f>Т!CF26</f>
        <v>0</v>
      </c>
      <c r="CG26" s="178">
        <f>Т!CG26</f>
        <v>0</v>
      </c>
      <c r="CH26" s="178">
        <f>Т!CH26</f>
        <v>0</v>
      </c>
      <c r="CI26" s="178">
        <f>Т!CI26</f>
        <v>0</v>
      </c>
      <c r="CJ26" s="178">
        <f>Т!CJ26</f>
        <v>0</v>
      </c>
      <c r="CK26" s="178">
        <f>Т!CK26</f>
        <v>0</v>
      </c>
      <c r="CL26" s="178">
        <f>Т!CL26</f>
        <v>0</v>
      </c>
      <c r="CM26" s="178">
        <f>Т!CM26</f>
        <v>0</v>
      </c>
      <c r="CN26" s="178">
        <f>Т!CN26</f>
        <v>0</v>
      </c>
      <c r="CO26" s="178">
        <f>Т!CO26</f>
        <v>0</v>
      </c>
      <c r="CP26" s="179"/>
      <c r="CQ26" s="179"/>
      <c r="CR26" s="179"/>
      <c r="CS26" s="179"/>
      <c r="CT26" s="179"/>
      <c r="CU26" s="178">
        <f>Т!CU26</f>
        <v>0</v>
      </c>
      <c r="CV26" s="178">
        <f>Т!CV26</f>
        <v>0</v>
      </c>
      <c r="CW26" s="178">
        <f>Т!CW26</f>
        <v>0</v>
      </c>
      <c r="CX26" s="178">
        <f>Т!CX26</f>
        <v>0</v>
      </c>
      <c r="CY26" s="178">
        <f>Т!CY26</f>
        <v>0</v>
      </c>
      <c r="CZ26" s="178">
        <f>Т!CZ26</f>
        <v>0</v>
      </c>
      <c r="DA26" s="178">
        <f>Т!DA26</f>
        <v>0</v>
      </c>
      <c r="DB26" s="179"/>
      <c r="DC26" s="178">
        <f>Т!DC26</f>
        <v>0</v>
      </c>
      <c r="DD26" s="178">
        <f>Т!DD26</f>
        <v>0</v>
      </c>
      <c r="DE26" s="178">
        <f>Т!DE26</f>
        <v>0</v>
      </c>
      <c r="DF26" s="179"/>
      <c r="DG26" s="179"/>
      <c r="DH26" s="179"/>
      <c r="DI26" s="178">
        <f>Т!DI26</f>
        <v>0</v>
      </c>
      <c r="DJ26" s="178">
        <f>Т!DJ26</f>
        <v>0</v>
      </c>
      <c r="DK26" s="178">
        <f>Т!DK26</f>
        <v>0</v>
      </c>
      <c r="DL26" s="178">
        <f>Т!DL26</f>
        <v>0</v>
      </c>
      <c r="DM26" s="178">
        <f>Т!DM26</f>
        <v>0</v>
      </c>
      <c r="DN26" s="178">
        <f>Т!DN26</f>
        <v>0</v>
      </c>
      <c r="DO26" s="178">
        <f>Т!DO26</f>
        <v>0</v>
      </c>
      <c r="DP26" s="178">
        <f>Т!DP26</f>
        <v>0</v>
      </c>
      <c r="DQ26" s="178">
        <f>Т!DQ26</f>
        <v>0</v>
      </c>
      <c r="DR26" s="178">
        <f>Т!DR26</f>
        <v>0</v>
      </c>
      <c r="DS26" s="178">
        <f>Т!DS26</f>
        <v>0</v>
      </c>
      <c r="DT26" s="178">
        <f>Т!DT26</f>
        <v>0</v>
      </c>
      <c r="DU26" s="178">
        <f>Т!DU26</f>
        <v>0</v>
      </c>
      <c r="DV26" s="178">
        <f>Т!DV26</f>
        <v>0</v>
      </c>
      <c r="DW26" s="178">
        <f>Т!DW26</f>
        <v>0</v>
      </c>
      <c r="DX26" s="179"/>
      <c r="DY26" s="179"/>
      <c r="DZ26" s="179"/>
      <c r="EA26" s="179"/>
      <c r="EB26" s="179"/>
      <c r="EC26" s="178">
        <f>Т!EC26</f>
        <v>0</v>
      </c>
      <c r="ED26" s="178">
        <f>Т!ED26</f>
        <v>0</v>
      </c>
      <c r="EE26" s="178">
        <f>Т!EE26</f>
        <v>0</v>
      </c>
      <c r="EF26" s="178">
        <f>Т!EF26</f>
        <v>0</v>
      </c>
      <c r="EG26" s="178">
        <f>Т!EG26</f>
        <v>0</v>
      </c>
      <c r="EH26" s="178">
        <f>Т!EH26</f>
        <v>0</v>
      </c>
      <c r="EI26" s="178">
        <f>Т!EI26</f>
        <v>0</v>
      </c>
      <c r="EJ26" s="179"/>
      <c r="EK26" s="178">
        <f>Т!EK26</f>
        <v>0</v>
      </c>
      <c r="EL26" s="178">
        <f>Т!EL26</f>
        <v>0</v>
      </c>
      <c r="EM26" s="178">
        <f>Т!EM26</f>
        <v>0</v>
      </c>
      <c r="EN26" s="179"/>
      <c r="EO26" s="179"/>
      <c r="EP26" s="179"/>
      <c r="EQ26" s="178">
        <f>Т!EQ26</f>
        <v>0</v>
      </c>
      <c r="ER26" s="178">
        <f>Т!ER26</f>
        <v>0</v>
      </c>
      <c r="ES26" s="178">
        <f>Т!ES26</f>
        <v>0</v>
      </c>
      <c r="ET26" s="178">
        <f>Т!ET26</f>
        <v>0</v>
      </c>
      <c r="EU26" s="178">
        <f>Т!EU26</f>
        <v>0</v>
      </c>
      <c r="EV26" s="178">
        <f>Т!EV26</f>
        <v>0</v>
      </c>
      <c r="EW26" s="178">
        <f>Т!EW26</f>
        <v>0</v>
      </c>
      <c r="EX26" s="178">
        <f>Т!EX26</f>
        <v>0</v>
      </c>
      <c r="EY26" s="178">
        <f>Т!EY26</f>
        <v>0</v>
      </c>
      <c r="EZ26" s="178">
        <f>Т!EZ26</f>
        <v>0</v>
      </c>
      <c r="FA26" s="178">
        <f>Т!FA26</f>
        <v>0</v>
      </c>
      <c r="FB26" s="178">
        <f>Т!FB26</f>
        <v>0</v>
      </c>
      <c r="FC26" s="178">
        <f>Т!FC26</f>
        <v>0</v>
      </c>
      <c r="FD26" s="178">
        <f>Т!FD26</f>
        <v>0</v>
      </c>
      <c r="FE26" s="178">
        <f>Т!FE26</f>
        <v>0</v>
      </c>
      <c r="FF26" s="179"/>
      <c r="FG26" s="179"/>
      <c r="FH26" s="179"/>
      <c r="FI26" s="179"/>
      <c r="FJ26" s="179"/>
      <c r="FK26" s="229"/>
      <c r="FL26" s="176"/>
      <c r="FM26" s="176"/>
      <c r="FN26" s="176"/>
      <c r="FO26" s="371"/>
      <c r="FP26" s="372" t="str">
        <f>IF(PLAN_201X!$B16="15",IF(PLAN_201X!$H16="","",PLAN_201X!$H16),"")</f>
        <v/>
      </c>
      <c r="FQ26" s="372" t="str">
        <f>IF(PLAN_201X!$B16="15",IF(PLAN_201X!$I16="","",PLAN_201X!$I16),"")</f>
        <v/>
      </c>
      <c r="FR26" s="372" t="str">
        <f>IF(PLAN_201X!$B16="15",IF(PLAN_201X!$J16="","",PLAN_201X!$J16),"")</f>
        <v/>
      </c>
      <c r="FS26" s="171"/>
      <c r="FT26" s="221" t="s">
        <v>1735</v>
      </c>
      <c r="FU26" s="221" t="str">
        <f t="shared" si="4"/>
        <v>Торф</v>
      </c>
      <c r="FV26" s="230">
        <f>SUMIF(PLAN_201X!$B$2:$B$19,PLAN_201X!$B16,PLAN_201X!C$2:C$19)</f>
        <v>0</v>
      </c>
      <c r="FW26" s="230">
        <f>SUMIF(PLAN_201X!$B$2:$B$19,PLAN_201X!$B16,PLAN_201X!D$2:D$19)</f>
        <v>0</v>
      </c>
      <c r="FX26" s="230">
        <f>SUMIF(PLAN_201X!$B$2:$B$19,PLAN_201X!$B16,PLAN_201X!E$2:E$19)</f>
        <v>0</v>
      </c>
      <c r="FY26" s="83"/>
      <c r="FZ26" s="59"/>
    </row>
    <row r="27" spans="6:182" s="58" customFormat="1" ht="12" customHeight="1">
      <c r="F27" s="59"/>
      <c r="G27" s="59"/>
      <c r="H27" s="59"/>
      <c r="I27" s="82"/>
      <c r="J27" s="82"/>
      <c r="K27" s="82"/>
      <c r="L27" s="59"/>
      <c r="M27" s="59"/>
      <c r="N27" s="59"/>
      <c r="O27" s="336" t="s">
        <v>1734</v>
      </c>
      <c r="P27" s="337" t="str">
        <f t="shared" si="3"/>
        <v>Сланцы</v>
      </c>
      <c r="Q27" s="175">
        <f>SUMIF(PLAN_201X!$B$2:$B$19,PLAN_201X!$B17,PLAN_201X!C$2:C$19)</f>
        <v>0</v>
      </c>
      <c r="R27" s="175">
        <f>SUMIF(PLAN_201X!$B$2:$B$19,PLAN_201X!$B17,PLAN_201X!D$2:D$19)</f>
        <v>0</v>
      </c>
      <c r="S27" s="175">
        <f>SUMIF(PLAN_201X!$B$2:$B$19,PLAN_201X!$B17,PLAN_201X!E$2:E$19)</f>
        <v>0</v>
      </c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7" t="str">
        <f t="shared" si="5"/>
        <v xml:space="preserve"> :: ACTI</v>
      </c>
      <c r="AE27" s="178">
        <f>Т!AE27</f>
        <v>0</v>
      </c>
      <c r="AF27" s="178">
        <f>Т!AF27</f>
        <v>0</v>
      </c>
      <c r="AG27" s="178">
        <f>Т!AG27</f>
        <v>0</v>
      </c>
      <c r="AH27" s="178">
        <f>Т!AH27</f>
        <v>0</v>
      </c>
      <c r="AI27" s="178">
        <f>Т!AI27</f>
        <v>0</v>
      </c>
      <c r="AJ27" s="178">
        <f>Т!AJ27</f>
        <v>0</v>
      </c>
      <c r="AK27" s="178">
        <f>Т!AK27</f>
        <v>0</v>
      </c>
      <c r="AL27" s="179"/>
      <c r="AM27" s="178">
        <f>Т!AM27</f>
        <v>0</v>
      </c>
      <c r="AN27" s="178">
        <f>Т!AN27</f>
        <v>0</v>
      </c>
      <c r="AO27" s="178">
        <f>Т!AO27</f>
        <v>0</v>
      </c>
      <c r="AP27" s="179"/>
      <c r="AQ27" s="179"/>
      <c r="AR27" s="179"/>
      <c r="AS27" s="178">
        <f>Т!AS27</f>
        <v>0</v>
      </c>
      <c r="AT27" s="178">
        <f>Т!AT27</f>
        <v>0</v>
      </c>
      <c r="AU27" s="178">
        <f>Т!AU27</f>
        <v>0</v>
      </c>
      <c r="AV27" s="178">
        <f>Т!AV27</f>
        <v>0</v>
      </c>
      <c r="AW27" s="178">
        <f>Т!AW27</f>
        <v>0</v>
      </c>
      <c r="AX27" s="178">
        <f>Т!AX27</f>
        <v>0</v>
      </c>
      <c r="AY27" s="178">
        <f>Т!AY27</f>
        <v>0</v>
      </c>
      <c r="AZ27" s="178">
        <f>Т!AZ27</f>
        <v>0</v>
      </c>
      <c r="BA27" s="178">
        <f>Т!BA27</f>
        <v>0</v>
      </c>
      <c r="BB27" s="178">
        <f>Т!BB27</f>
        <v>0</v>
      </c>
      <c r="BC27" s="178">
        <f>Т!BC27</f>
        <v>0</v>
      </c>
      <c r="BD27" s="178">
        <f>Т!BD27</f>
        <v>0</v>
      </c>
      <c r="BE27" s="178">
        <f>Т!BE27</f>
        <v>0</v>
      </c>
      <c r="BF27" s="178">
        <f>Т!BF27</f>
        <v>0</v>
      </c>
      <c r="BG27" s="178">
        <f>Т!BG27</f>
        <v>0</v>
      </c>
      <c r="BH27" s="179"/>
      <c r="BI27" s="179"/>
      <c r="BJ27" s="179"/>
      <c r="BK27" s="179"/>
      <c r="BL27" s="179"/>
      <c r="BM27" s="178">
        <f>Т!BM27</f>
        <v>0</v>
      </c>
      <c r="BN27" s="178">
        <f>Т!BN27</f>
        <v>0</v>
      </c>
      <c r="BO27" s="178">
        <f>Т!BO27</f>
        <v>0</v>
      </c>
      <c r="BP27" s="178">
        <f>Т!BP27</f>
        <v>0</v>
      </c>
      <c r="BQ27" s="178">
        <f>Т!BQ27</f>
        <v>0</v>
      </c>
      <c r="BR27" s="178">
        <f>Т!BR27</f>
        <v>0</v>
      </c>
      <c r="BS27" s="178">
        <f>Т!BS27</f>
        <v>0</v>
      </c>
      <c r="BT27" s="179"/>
      <c r="BU27" s="178">
        <f>Т!BU27</f>
        <v>0</v>
      </c>
      <c r="BV27" s="178">
        <f>Т!BV27</f>
        <v>0</v>
      </c>
      <c r="BW27" s="178">
        <f>Т!BW27</f>
        <v>0</v>
      </c>
      <c r="BX27" s="179"/>
      <c r="BY27" s="179"/>
      <c r="BZ27" s="179"/>
      <c r="CA27" s="178">
        <f>Т!CA27</f>
        <v>0</v>
      </c>
      <c r="CB27" s="178">
        <f>Т!CB27</f>
        <v>0</v>
      </c>
      <c r="CC27" s="178">
        <f>Т!CC27</f>
        <v>0</v>
      </c>
      <c r="CD27" s="178">
        <f>Т!CD27</f>
        <v>0</v>
      </c>
      <c r="CE27" s="178">
        <f>Т!CE27</f>
        <v>0</v>
      </c>
      <c r="CF27" s="178">
        <f>Т!CF27</f>
        <v>0</v>
      </c>
      <c r="CG27" s="178">
        <f>Т!CG27</f>
        <v>0</v>
      </c>
      <c r="CH27" s="178">
        <f>Т!CH27</f>
        <v>0</v>
      </c>
      <c r="CI27" s="178">
        <f>Т!CI27</f>
        <v>0</v>
      </c>
      <c r="CJ27" s="178">
        <f>Т!CJ27</f>
        <v>0</v>
      </c>
      <c r="CK27" s="178">
        <f>Т!CK27</f>
        <v>0</v>
      </c>
      <c r="CL27" s="178">
        <f>Т!CL27</f>
        <v>0</v>
      </c>
      <c r="CM27" s="178">
        <f>Т!CM27</f>
        <v>0</v>
      </c>
      <c r="CN27" s="178">
        <f>Т!CN27</f>
        <v>0</v>
      </c>
      <c r="CO27" s="178">
        <f>Т!CO27</f>
        <v>0</v>
      </c>
      <c r="CP27" s="179"/>
      <c r="CQ27" s="179"/>
      <c r="CR27" s="179"/>
      <c r="CS27" s="179"/>
      <c r="CT27" s="179"/>
      <c r="CU27" s="178">
        <f>Т!CU27</f>
        <v>0</v>
      </c>
      <c r="CV27" s="178">
        <f>Т!CV27</f>
        <v>0</v>
      </c>
      <c r="CW27" s="178">
        <f>Т!CW27</f>
        <v>0</v>
      </c>
      <c r="CX27" s="178">
        <f>Т!CX27</f>
        <v>0</v>
      </c>
      <c r="CY27" s="178">
        <f>Т!CY27</f>
        <v>0</v>
      </c>
      <c r="CZ27" s="178">
        <f>Т!CZ27</f>
        <v>0</v>
      </c>
      <c r="DA27" s="178">
        <f>Т!DA27</f>
        <v>0</v>
      </c>
      <c r="DB27" s="179"/>
      <c r="DC27" s="178">
        <f>Т!DC27</f>
        <v>0</v>
      </c>
      <c r="DD27" s="178">
        <f>Т!DD27</f>
        <v>0</v>
      </c>
      <c r="DE27" s="178">
        <f>Т!DE27</f>
        <v>0</v>
      </c>
      <c r="DF27" s="179"/>
      <c r="DG27" s="179"/>
      <c r="DH27" s="179"/>
      <c r="DI27" s="178">
        <f>Т!DI27</f>
        <v>0</v>
      </c>
      <c r="DJ27" s="178">
        <f>Т!DJ27</f>
        <v>0</v>
      </c>
      <c r="DK27" s="178">
        <f>Т!DK27</f>
        <v>0</v>
      </c>
      <c r="DL27" s="178">
        <f>Т!DL27</f>
        <v>0</v>
      </c>
      <c r="DM27" s="178">
        <f>Т!DM27</f>
        <v>0</v>
      </c>
      <c r="DN27" s="178">
        <f>Т!DN27</f>
        <v>0</v>
      </c>
      <c r="DO27" s="178">
        <f>Т!DO27</f>
        <v>0</v>
      </c>
      <c r="DP27" s="178">
        <f>Т!DP27</f>
        <v>0</v>
      </c>
      <c r="DQ27" s="178">
        <f>Т!DQ27</f>
        <v>0</v>
      </c>
      <c r="DR27" s="178">
        <f>Т!DR27</f>
        <v>0</v>
      </c>
      <c r="DS27" s="178">
        <f>Т!DS27</f>
        <v>0</v>
      </c>
      <c r="DT27" s="178">
        <f>Т!DT27</f>
        <v>0</v>
      </c>
      <c r="DU27" s="178">
        <f>Т!DU27</f>
        <v>0</v>
      </c>
      <c r="DV27" s="178">
        <f>Т!DV27</f>
        <v>0</v>
      </c>
      <c r="DW27" s="178">
        <f>Т!DW27</f>
        <v>0</v>
      </c>
      <c r="DX27" s="179"/>
      <c r="DY27" s="179"/>
      <c r="DZ27" s="179"/>
      <c r="EA27" s="179"/>
      <c r="EB27" s="179"/>
      <c r="EC27" s="178">
        <f>Т!EC27</f>
        <v>0</v>
      </c>
      <c r="ED27" s="178">
        <f>Т!ED27</f>
        <v>0</v>
      </c>
      <c r="EE27" s="178">
        <f>Т!EE27</f>
        <v>0</v>
      </c>
      <c r="EF27" s="178">
        <f>Т!EF27</f>
        <v>0</v>
      </c>
      <c r="EG27" s="178">
        <f>Т!EG27</f>
        <v>0</v>
      </c>
      <c r="EH27" s="178">
        <f>Т!EH27</f>
        <v>0</v>
      </c>
      <c r="EI27" s="178">
        <f>Т!EI27</f>
        <v>0</v>
      </c>
      <c r="EJ27" s="179"/>
      <c r="EK27" s="178">
        <f>Т!EK27</f>
        <v>0</v>
      </c>
      <c r="EL27" s="178">
        <f>Т!EL27</f>
        <v>0</v>
      </c>
      <c r="EM27" s="178">
        <f>Т!EM27</f>
        <v>0</v>
      </c>
      <c r="EN27" s="179"/>
      <c r="EO27" s="179"/>
      <c r="EP27" s="179"/>
      <c r="EQ27" s="178">
        <f>Т!EQ27</f>
        <v>0</v>
      </c>
      <c r="ER27" s="178">
        <f>Т!ER27</f>
        <v>0</v>
      </c>
      <c r="ES27" s="178">
        <f>Т!ES27</f>
        <v>0</v>
      </c>
      <c r="ET27" s="178">
        <f>Т!ET27</f>
        <v>0</v>
      </c>
      <c r="EU27" s="178">
        <f>Т!EU27</f>
        <v>0</v>
      </c>
      <c r="EV27" s="178">
        <f>Т!EV27</f>
        <v>0</v>
      </c>
      <c r="EW27" s="178">
        <f>Т!EW27</f>
        <v>0</v>
      </c>
      <c r="EX27" s="178">
        <f>Т!EX27</f>
        <v>0</v>
      </c>
      <c r="EY27" s="178">
        <f>Т!EY27</f>
        <v>0</v>
      </c>
      <c r="EZ27" s="178">
        <f>Т!EZ27</f>
        <v>0</v>
      </c>
      <c r="FA27" s="178">
        <f>Т!FA27</f>
        <v>0</v>
      </c>
      <c r="FB27" s="178">
        <f>Т!FB27</f>
        <v>0</v>
      </c>
      <c r="FC27" s="178">
        <f>Т!FC27</f>
        <v>0</v>
      </c>
      <c r="FD27" s="178">
        <f>Т!FD27</f>
        <v>0</v>
      </c>
      <c r="FE27" s="178">
        <f>Т!FE27</f>
        <v>0</v>
      </c>
      <c r="FF27" s="179"/>
      <c r="FG27" s="179"/>
      <c r="FH27" s="179"/>
      <c r="FI27" s="179"/>
      <c r="FJ27" s="179"/>
      <c r="FK27" s="229"/>
      <c r="FL27" s="176"/>
      <c r="FM27" s="176"/>
      <c r="FN27" s="176"/>
      <c r="FO27" s="371"/>
      <c r="FP27" s="372" t="str">
        <f>IF(PLAN_201X!$B17="16",IF(PLAN_201X!$H17="","",PLAN_201X!$H17),"")</f>
        <v/>
      </c>
      <c r="FQ27" s="372" t="str">
        <f>IF(PLAN_201X!$B17="16",IF(PLAN_201X!$I17="","",PLAN_201X!$I17),"")</f>
        <v/>
      </c>
      <c r="FR27" s="372" t="str">
        <f>IF(PLAN_201X!$B17="16",IF(PLAN_201X!$J17="","",PLAN_201X!$J17),"")</f>
        <v/>
      </c>
      <c r="FS27" s="171"/>
      <c r="FT27" s="221" t="s">
        <v>1734</v>
      </c>
      <c r="FU27" s="221" t="str">
        <f t="shared" si="4"/>
        <v>Сланцы</v>
      </c>
      <c r="FV27" s="230">
        <f>SUMIF(PLAN_201X!$B$2:$B$19,PLAN_201X!$B17,PLAN_201X!C$2:C$19)</f>
        <v>0</v>
      </c>
      <c r="FW27" s="230">
        <f>SUMIF(PLAN_201X!$B$2:$B$19,PLAN_201X!$B17,PLAN_201X!D$2:D$19)</f>
        <v>0</v>
      </c>
      <c r="FX27" s="230">
        <f>SUMIF(PLAN_201X!$B$2:$B$19,PLAN_201X!$B17,PLAN_201X!E$2:E$19)</f>
        <v>0</v>
      </c>
      <c r="FY27" s="83"/>
      <c r="FZ27" s="59"/>
    </row>
    <row r="28" spans="6:182" s="58" customFormat="1" ht="12" customHeight="1">
      <c r="F28" s="59"/>
      <c r="G28" s="59"/>
      <c r="H28" s="59"/>
      <c r="I28" s="82"/>
      <c r="J28" s="82"/>
      <c r="K28" s="82"/>
      <c r="L28" s="59"/>
      <c r="M28" s="59"/>
      <c r="N28" s="59"/>
      <c r="O28" s="336" t="s">
        <v>1746</v>
      </c>
      <c r="P28" s="337" t="str">
        <f t="shared" si="3"/>
        <v>Печное бытовое топливо</v>
      </c>
      <c r="Q28" s="175">
        <f>SUMIF(PLAN_201X!$B$2:$B$19,PLAN_201X!$B18,PLAN_201X!C$2:C$19)</f>
        <v>0</v>
      </c>
      <c r="R28" s="175">
        <f>SUMIF(PLAN_201X!$B$2:$B$19,PLAN_201X!$B18,PLAN_201X!D$2:D$19)</f>
        <v>0</v>
      </c>
      <c r="S28" s="175">
        <f>SUMIF(PLAN_201X!$B$2:$B$19,PLAN_201X!$B18,PLAN_201X!E$2:E$19)</f>
        <v>0</v>
      </c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7" t="str">
        <f t="shared" si="5"/>
        <v xml:space="preserve"> :: ACTI</v>
      </c>
      <c r="AE28" s="178">
        <f>Т!AE28</f>
        <v>0</v>
      </c>
      <c r="AF28" s="178">
        <f>Т!AF28</f>
        <v>0</v>
      </c>
      <c r="AG28" s="178">
        <f>Т!AG28</f>
        <v>0</v>
      </c>
      <c r="AH28" s="178">
        <f>Т!AH28</f>
        <v>0</v>
      </c>
      <c r="AI28" s="178">
        <f>Т!AI28</f>
        <v>0</v>
      </c>
      <c r="AJ28" s="178">
        <f>Т!AJ28</f>
        <v>0</v>
      </c>
      <c r="AK28" s="178">
        <f>Т!AK28</f>
        <v>0</v>
      </c>
      <c r="AL28" s="179"/>
      <c r="AM28" s="178">
        <f>Т!AM28</f>
        <v>0</v>
      </c>
      <c r="AN28" s="178">
        <f>Т!AN28</f>
        <v>0</v>
      </c>
      <c r="AO28" s="178">
        <f>Т!AO28</f>
        <v>0</v>
      </c>
      <c r="AP28" s="179"/>
      <c r="AQ28" s="179"/>
      <c r="AR28" s="179"/>
      <c r="AS28" s="178">
        <f>Т!AS28</f>
        <v>0</v>
      </c>
      <c r="AT28" s="178">
        <f>Т!AT28</f>
        <v>0</v>
      </c>
      <c r="AU28" s="178">
        <f>Т!AU28</f>
        <v>0</v>
      </c>
      <c r="AV28" s="178">
        <f>Т!AV28</f>
        <v>0</v>
      </c>
      <c r="AW28" s="178">
        <f>Т!AW28</f>
        <v>0</v>
      </c>
      <c r="AX28" s="178">
        <f>Т!AX28</f>
        <v>0</v>
      </c>
      <c r="AY28" s="178">
        <f>Т!AY28</f>
        <v>0</v>
      </c>
      <c r="AZ28" s="178">
        <f>Т!AZ28</f>
        <v>0</v>
      </c>
      <c r="BA28" s="178">
        <f>Т!BA28</f>
        <v>0</v>
      </c>
      <c r="BB28" s="178">
        <f>Т!BB28</f>
        <v>0</v>
      </c>
      <c r="BC28" s="178">
        <f>Т!BC28</f>
        <v>0</v>
      </c>
      <c r="BD28" s="178">
        <f>Т!BD28</f>
        <v>0</v>
      </c>
      <c r="BE28" s="178">
        <f>Т!BE28</f>
        <v>0</v>
      </c>
      <c r="BF28" s="178">
        <f>Т!BF28</f>
        <v>0</v>
      </c>
      <c r="BG28" s="178">
        <f>Т!BG28</f>
        <v>0</v>
      </c>
      <c r="BH28" s="179"/>
      <c r="BI28" s="179"/>
      <c r="BJ28" s="179"/>
      <c r="BK28" s="179"/>
      <c r="BL28" s="179"/>
      <c r="BM28" s="178">
        <f>Т!BM28</f>
        <v>0</v>
      </c>
      <c r="BN28" s="178">
        <f>Т!BN28</f>
        <v>0</v>
      </c>
      <c r="BO28" s="178">
        <f>Т!BO28</f>
        <v>0</v>
      </c>
      <c r="BP28" s="178">
        <f>Т!BP28</f>
        <v>0</v>
      </c>
      <c r="BQ28" s="178">
        <f>Т!BQ28</f>
        <v>0</v>
      </c>
      <c r="BR28" s="178">
        <f>Т!BR28</f>
        <v>0</v>
      </c>
      <c r="BS28" s="178">
        <f>Т!BS28</f>
        <v>0</v>
      </c>
      <c r="BT28" s="179"/>
      <c r="BU28" s="178">
        <f>Т!BU28</f>
        <v>0</v>
      </c>
      <c r="BV28" s="178">
        <f>Т!BV28</f>
        <v>0</v>
      </c>
      <c r="BW28" s="178">
        <f>Т!BW28</f>
        <v>0</v>
      </c>
      <c r="BX28" s="179"/>
      <c r="BY28" s="179"/>
      <c r="BZ28" s="179"/>
      <c r="CA28" s="178">
        <f>Т!CA28</f>
        <v>0</v>
      </c>
      <c r="CB28" s="178">
        <f>Т!CB28</f>
        <v>0</v>
      </c>
      <c r="CC28" s="178">
        <f>Т!CC28</f>
        <v>0</v>
      </c>
      <c r="CD28" s="178">
        <f>Т!CD28</f>
        <v>0</v>
      </c>
      <c r="CE28" s="178">
        <f>Т!CE28</f>
        <v>0</v>
      </c>
      <c r="CF28" s="178">
        <f>Т!CF28</f>
        <v>0</v>
      </c>
      <c r="CG28" s="178">
        <f>Т!CG28</f>
        <v>0</v>
      </c>
      <c r="CH28" s="178">
        <f>Т!CH28</f>
        <v>0</v>
      </c>
      <c r="CI28" s="178">
        <f>Т!CI28</f>
        <v>0</v>
      </c>
      <c r="CJ28" s="178">
        <f>Т!CJ28</f>
        <v>0</v>
      </c>
      <c r="CK28" s="178">
        <f>Т!CK28</f>
        <v>0</v>
      </c>
      <c r="CL28" s="178">
        <f>Т!CL28</f>
        <v>0</v>
      </c>
      <c r="CM28" s="178">
        <f>Т!CM28</f>
        <v>0</v>
      </c>
      <c r="CN28" s="178">
        <f>Т!CN28</f>
        <v>0</v>
      </c>
      <c r="CO28" s="178">
        <f>Т!CO28</f>
        <v>0</v>
      </c>
      <c r="CP28" s="179"/>
      <c r="CQ28" s="179"/>
      <c r="CR28" s="179"/>
      <c r="CS28" s="179"/>
      <c r="CT28" s="179"/>
      <c r="CU28" s="178">
        <f>Т!CU28</f>
        <v>0</v>
      </c>
      <c r="CV28" s="178">
        <f>Т!CV28</f>
        <v>0</v>
      </c>
      <c r="CW28" s="178">
        <f>Т!CW28</f>
        <v>0</v>
      </c>
      <c r="CX28" s="178">
        <f>Т!CX28</f>
        <v>0</v>
      </c>
      <c r="CY28" s="178">
        <f>Т!CY28</f>
        <v>0</v>
      </c>
      <c r="CZ28" s="178">
        <f>Т!CZ28</f>
        <v>0</v>
      </c>
      <c r="DA28" s="178">
        <f>Т!DA28</f>
        <v>0</v>
      </c>
      <c r="DB28" s="179"/>
      <c r="DC28" s="178">
        <f>Т!DC28</f>
        <v>0</v>
      </c>
      <c r="DD28" s="178">
        <f>Т!DD28</f>
        <v>0</v>
      </c>
      <c r="DE28" s="178">
        <f>Т!DE28</f>
        <v>0</v>
      </c>
      <c r="DF28" s="179"/>
      <c r="DG28" s="179"/>
      <c r="DH28" s="179"/>
      <c r="DI28" s="178">
        <f>Т!DI28</f>
        <v>0</v>
      </c>
      <c r="DJ28" s="178">
        <f>Т!DJ28</f>
        <v>0</v>
      </c>
      <c r="DK28" s="178">
        <f>Т!DK28</f>
        <v>0</v>
      </c>
      <c r="DL28" s="178">
        <f>Т!DL28</f>
        <v>0</v>
      </c>
      <c r="DM28" s="178">
        <f>Т!DM28</f>
        <v>0</v>
      </c>
      <c r="DN28" s="178">
        <f>Т!DN28</f>
        <v>0</v>
      </c>
      <c r="DO28" s="178">
        <f>Т!DO28</f>
        <v>0</v>
      </c>
      <c r="DP28" s="178">
        <f>Т!DP28</f>
        <v>0</v>
      </c>
      <c r="DQ28" s="178">
        <f>Т!DQ28</f>
        <v>0</v>
      </c>
      <c r="DR28" s="178">
        <f>Т!DR28</f>
        <v>0</v>
      </c>
      <c r="DS28" s="178">
        <f>Т!DS28</f>
        <v>0</v>
      </c>
      <c r="DT28" s="178">
        <f>Т!DT28</f>
        <v>0</v>
      </c>
      <c r="DU28" s="178">
        <f>Т!DU28</f>
        <v>0</v>
      </c>
      <c r="DV28" s="178">
        <f>Т!DV28</f>
        <v>0</v>
      </c>
      <c r="DW28" s="178">
        <f>Т!DW28</f>
        <v>0</v>
      </c>
      <c r="DX28" s="179"/>
      <c r="DY28" s="179"/>
      <c r="DZ28" s="179"/>
      <c r="EA28" s="179"/>
      <c r="EB28" s="179"/>
      <c r="EC28" s="178">
        <f>Т!EC28</f>
        <v>0</v>
      </c>
      <c r="ED28" s="178">
        <f>Т!ED28</f>
        <v>0</v>
      </c>
      <c r="EE28" s="178">
        <f>Т!EE28</f>
        <v>0</v>
      </c>
      <c r="EF28" s="178">
        <f>Т!EF28</f>
        <v>0</v>
      </c>
      <c r="EG28" s="178">
        <f>Т!EG28</f>
        <v>0</v>
      </c>
      <c r="EH28" s="178">
        <f>Т!EH28</f>
        <v>0</v>
      </c>
      <c r="EI28" s="178">
        <f>Т!EI28</f>
        <v>0</v>
      </c>
      <c r="EJ28" s="179"/>
      <c r="EK28" s="178">
        <f>Т!EK28</f>
        <v>0</v>
      </c>
      <c r="EL28" s="178">
        <f>Т!EL28</f>
        <v>0</v>
      </c>
      <c r="EM28" s="178">
        <f>Т!EM28</f>
        <v>0</v>
      </c>
      <c r="EN28" s="179"/>
      <c r="EO28" s="179"/>
      <c r="EP28" s="179"/>
      <c r="EQ28" s="178">
        <f>Т!EQ28</f>
        <v>0</v>
      </c>
      <c r="ER28" s="178">
        <f>Т!ER28</f>
        <v>0</v>
      </c>
      <c r="ES28" s="178">
        <f>Т!ES28</f>
        <v>0</v>
      </c>
      <c r="ET28" s="178">
        <f>Т!ET28</f>
        <v>0</v>
      </c>
      <c r="EU28" s="178">
        <f>Т!EU28</f>
        <v>0</v>
      </c>
      <c r="EV28" s="178">
        <f>Т!EV28</f>
        <v>0</v>
      </c>
      <c r="EW28" s="178">
        <f>Т!EW28</f>
        <v>0</v>
      </c>
      <c r="EX28" s="178">
        <f>Т!EX28</f>
        <v>0</v>
      </c>
      <c r="EY28" s="178">
        <f>Т!EY28</f>
        <v>0</v>
      </c>
      <c r="EZ28" s="178">
        <f>Т!EZ28</f>
        <v>0</v>
      </c>
      <c r="FA28" s="178">
        <f>Т!FA28</f>
        <v>0</v>
      </c>
      <c r="FB28" s="178">
        <f>Т!FB28</f>
        <v>0</v>
      </c>
      <c r="FC28" s="178">
        <f>Т!FC28</f>
        <v>0</v>
      </c>
      <c r="FD28" s="178">
        <f>Т!FD28</f>
        <v>0</v>
      </c>
      <c r="FE28" s="178">
        <f>Т!FE28</f>
        <v>0</v>
      </c>
      <c r="FF28" s="179"/>
      <c r="FG28" s="179"/>
      <c r="FH28" s="179"/>
      <c r="FI28" s="179"/>
      <c r="FJ28" s="179"/>
      <c r="FK28" s="229"/>
      <c r="FL28" s="176"/>
      <c r="FM28" s="176"/>
      <c r="FN28" s="176"/>
      <c r="FO28" s="371"/>
      <c r="FP28" s="372" t="str">
        <f>IF(PLAN_201X!$B18="17",IF(PLAN_201X!$H18="","",PLAN_201X!$H18),"")</f>
        <v/>
      </c>
      <c r="FQ28" s="372" t="str">
        <f>IF(PLAN_201X!$B18="17",IF(PLAN_201X!$I18="","",PLAN_201X!$I18),"")</f>
        <v/>
      </c>
      <c r="FR28" s="372" t="str">
        <f>IF(PLAN_201X!$B18="17",IF(PLAN_201X!$J18="","",PLAN_201X!$J18),"")</f>
        <v/>
      </c>
      <c r="FS28" s="171"/>
      <c r="FT28" s="221" t="s">
        <v>1746</v>
      </c>
      <c r="FU28" s="221" t="str">
        <f t="shared" si="4"/>
        <v>Печное бытовое топливо</v>
      </c>
      <c r="FV28" s="230">
        <f>SUMIF(PLAN_201X!$B$2:$B$19,PLAN_201X!$B18,PLAN_201X!C$2:C$19)</f>
        <v>0</v>
      </c>
      <c r="FW28" s="230">
        <f>SUMIF(PLAN_201X!$B$2:$B$19,PLAN_201X!$B18,PLAN_201X!D$2:D$19)</f>
        <v>0</v>
      </c>
      <c r="FX28" s="230">
        <f>SUMIF(PLAN_201X!$B$2:$B$19,PLAN_201X!$B18,PLAN_201X!E$2:E$19)</f>
        <v>0</v>
      </c>
      <c r="FY28" s="83"/>
      <c r="FZ28" s="59"/>
    </row>
    <row r="29" spans="6:182" s="58" customFormat="1" ht="12" customHeight="1">
      <c r="F29" s="59"/>
      <c r="G29" s="59"/>
      <c r="H29" s="59"/>
      <c r="I29" s="82"/>
      <c r="J29" s="82"/>
      <c r="K29" s="82"/>
      <c r="L29" s="59"/>
      <c r="M29" s="59"/>
      <c r="N29" s="59"/>
      <c r="O29" s="336" t="s">
        <v>1747</v>
      </c>
      <c r="P29" s="337" t="str">
        <f>O29</f>
        <v>Прочие виды топлива</v>
      </c>
      <c r="Q29" s="179"/>
      <c r="R29" s="179"/>
      <c r="S29" s="175">
        <f>SUMIF(PLAN_201X!$B$2:$B$19,PLAN_201X!$B19,PLAN_201X!E$2:E$19)</f>
        <v>0</v>
      </c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7" t="str">
        <f t="shared" si="5"/>
        <v xml:space="preserve"> :: ACTI</v>
      </c>
      <c r="AE29" s="178">
        <f>Т!AE29</f>
        <v>0</v>
      </c>
      <c r="AF29" s="178">
        <f>Т!AF29</f>
        <v>0</v>
      </c>
      <c r="AG29" s="178">
        <f>Т!AG29</f>
        <v>0</v>
      </c>
      <c r="AH29" s="178">
        <f>Т!AH29</f>
        <v>0</v>
      </c>
      <c r="AI29" s="178">
        <f>Т!AI29</f>
        <v>0</v>
      </c>
      <c r="AJ29" s="178">
        <f>Т!AJ29</f>
        <v>0</v>
      </c>
      <c r="AK29" s="178">
        <f>Т!AK29</f>
        <v>0</v>
      </c>
      <c r="AL29" s="179"/>
      <c r="AM29" s="178">
        <f>Т!AM29</f>
        <v>0</v>
      </c>
      <c r="AN29" s="178">
        <f>Т!AN29</f>
        <v>0</v>
      </c>
      <c r="AO29" s="178">
        <f>Т!AO29</f>
        <v>0</v>
      </c>
      <c r="AP29" s="179"/>
      <c r="AQ29" s="179"/>
      <c r="AR29" s="179"/>
      <c r="AS29" s="178">
        <f>Т!AS29</f>
        <v>0</v>
      </c>
      <c r="AT29" s="178">
        <f>Т!AT29</f>
        <v>0</v>
      </c>
      <c r="AU29" s="178">
        <f>Т!AU29</f>
        <v>0</v>
      </c>
      <c r="AV29" s="178">
        <f>Т!AV29</f>
        <v>0</v>
      </c>
      <c r="AW29" s="178">
        <f>Т!AW29</f>
        <v>0</v>
      </c>
      <c r="AX29" s="178">
        <f>Т!AX29</f>
        <v>0</v>
      </c>
      <c r="AY29" s="178">
        <f>Т!AY29</f>
        <v>0</v>
      </c>
      <c r="AZ29" s="178">
        <f>Т!AZ29</f>
        <v>0</v>
      </c>
      <c r="BA29" s="178">
        <f>Т!BA29</f>
        <v>0</v>
      </c>
      <c r="BB29" s="178">
        <f>Т!BB29</f>
        <v>0</v>
      </c>
      <c r="BC29" s="178">
        <f>Т!BC29</f>
        <v>0</v>
      </c>
      <c r="BD29" s="178">
        <f>Т!BD29</f>
        <v>0</v>
      </c>
      <c r="BE29" s="178">
        <f>Т!BE29</f>
        <v>0</v>
      </c>
      <c r="BF29" s="178">
        <f>Т!BF29</f>
        <v>0</v>
      </c>
      <c r="BG29" s="178">
        <f>Т!BG29</f>
        <v>0</v>
      </c>
      <c r="BH29" s="179"/>
      <c r="BI29" s="179"/>
      <c r="BJ29" s="179"/>
      <c r="BK29" s="179"/>
      <c r="BL29" s="179"/>
      <c r="BM29" s="178">
        <f>Т!BM29</f>
        <v>0</v>
      </c>
      <c r="BN29" s="178">
        <f>Т!BN29</f>
        <v>0</v>
      </c>
      <c r="BO29" s="178">
        <f>Т!BO29</f>
        <v>0</v>
      </c>
      <c r="BP29" s="178">
        <f>Т!BP29</f>
        <v>0</v>
      </c>
      <c r="BQ29" s="178">
        <f>Т!BQ29</f>
        <v>0</v>
      </c>
      <c r="BR29" s="178">
        <f>Т!BR29</f>
        <v>0</v>
      </c>
      <c r="BS29" s="178">
        <f>Т!BS29</f>
        <v>0</v>
      </c>
      <c r="BT29" s="179"/>
      <c r="BU29" s="178">
        <f>Т!BU29</f>
        <v>0</v>
      </c>
      <c r="BV29" s="178">
        <f>Т!BV29</f>
        <v>0</v>
      </c>
      <c r="BW29" s="178">
        <f>Т!BW29</f>
        <v>0</v>
      </c>
      <c r="BX29" s="179"/>
      <c r="BY29" s="179"/>
      <c r="BZ29" s="179"/>
      <c r="CA29" s="178">
        <f>Т!CA29</f>
        <v>0</v>
      </c>
      <c r="CB29" s="178">
        <f>Т!CB29</f>
        <v>0</v>
      </c>
      <c r="CC29" s="178">
        <f>Т!CC29</f>
        <v>0</v>
      </c>
      <c r="CD29" s="178">
        <f>Т!CD29</f>
        <v>0</v>
      </c>
      <c r="CE29" s="178">
        <f>Т!CE29</f>
        <v>0</v>
      </c>
      <c r="CF29" s="178">
        <f>Т!CF29</f>
        <v>0</v>
      </c>
      <c r="CG29" s="178">
        <f>Т!CG29</f>
        <v>0</v>
      </c>
      <c r="CH29" s="178">
        <f>Т!CH29</f>
        <v>0</v>
      </c>
      <c r="CI29" s="178">
        <f>Т!CI29</f>
        <v>0</v>
      </c>
      <c r="CJ29" s="178">
        <f>Т!CJ29</f>
        <v>0</v>
      </c>
      <c r="CK29" s="178">
        <f>Т!CK29</f>
        <v>0</v>
      </c>
      <c r="CL29" s="178">
        <f>Т!CL29</f>
        <v>0</v>
      </c>
      <c r="CM29" s="178">
        <f>Т!CM29</f>
        <v>0</v>
      </c>
      <c r="CN29" s="178">
        <f>Т!CN29</f>
        <v>0</v>
      </c>
      <c r="CO29" s="178">
        <f>Т!CO29</f>
        <v>0</v>
      </c>
      <c r="CP29" s="179"/>
      <c r="CQ29" s="179"/>
      <c r="CR29" s="179"/>
      <c r="CS29" s="179"/>
      <c r="CT29" s="179"/>
      <c r="CU29" s="178">
        <f>Т!CU29</f>
        <v>0</v>
      </c>
      <c r="CV29" s="178">
        <f>Т!CV29</f>
        <v>0</v>
      </c>
      <c r="CW29" s="178">
        <f>Т!CW29</f>
        <v>0</v>
      </c>
      <c r="CX29" s="178">
        <f>Т!CX29</f>
        <v>0</v>
      </c>
      <c r="CY29" s="178">
        <f>Т!CY29</f>
        <v>0</v>
      </c>
      <c r="CZ29" s="178">
        <f>Т!CZ29</f>
        <v>0</v>
      </c>
      <c r="DA29" s="178">
        <f>Т!DA29</f>
        <v>0</v>
      </c>
      <c r="DB29" s="179"/>
      <c r="DC29" s="178">
        <f>Т!DC29</f>
        <v>0</v>
      </c>
      <c r="DD29" s="178">
        <f>Т!DD29</f>
        <v>0</v>
      </c>
      <c r="DE29" s="178">
        <f>Т!DE29</f>
        <v>0</v>
      </c>
      <c r="DF29" s="179"/>
      <c r="DG29" s="179"/>
      <c r="DH29" s="179"/>
      <c r="DI29" s="178">
        <f>Т!DI29</f>
        <v>0</v>
      </c>
      <c r="DJ29" s="178">
        <f>Т!DJ29</f>
        <v>0</v>
      </c>
      <c r="DK29" s="178">
        <f>Т!DK29</f>
        <v>0</v>
      </c>
      <c r="DL29" s="178">
        <f>Т!DL29</f>
        <v>0</v>
      </c>
      <c r="DM29" s="178">
        <f>Т!DM29</f>
        <v>0</v>
      </c>
      <c r="DN29" s="178">
        <f>Т!DN29</f>
        <v>0</v>
      </c>
      <c r="DO29" s="178">
        <f>Т!DO29</f>
        <v>0</v>
      </c>
      <c r="DP29" s="178">
        <f>Т!DP29</f>
        <v>0</v>
      </c>
      <c r="DQ29" s="178">
        <f>Т!DQ29</f>
        <v>0</v>
      </c>
      <c r="DR29" s="178">
        <f>Т!DR29</f>
        <v>0</v>
      </c>
      <c r="DS29" s="178">
        <f>Т!DS29</f>
        <v>0</v>
      </c>
      <c r="DT29" s="178">
        <f>Т!DT29</f>
        <v>0</v>
      </c>
      <c r="DU29" s="178">
        <f>Т!DU29</f>
        <v>0</v>
      </c>
      <c r="DV29" s="178">
        <f>Т!DV29</f>
        <v>0</v>
      </c>
      <c r="DW29" s="178">
        <f>Т!DW29</f>
        <v>0</v>
      </c>
      <c r="DX29" s="179"/>
      <c r="DY29" s="179"/>
      <c r="DZ29" s="179"/>
      <c r="EA29" s="179"/>
      <c r="EB29" s="179"/>
      <c r="EC29" s="178">
        <f>Т!EC29</f>
        <v>0</v>
      </c>
      <c r="ED29" s="178">
        <f>Т!ED29</f>
        <v>0</v>
      </c>
      <c r="EE29" s="178">
        <f>Т!EE29</f>
        <v>0</v>
      </c>
      <c r="EF29" s="178">
        <f>Т!EF29</f>
        <v>0</v>
      </c>
      <c r="EG29" s="178">
        <f>Т!EG29</f>
        <v>0</v>
      </c>
      <c r="EH29" s="178">
        <f>Т!EH29</f>
        <v>0</v>
      </c>
      <c r="EI29" s="178">
        <f>Т!EI29</f>
        <v>0</v>
      </c>
      <c r="EJ29" s="179"/>
      <c r="EK29" s="178">
        <f>Т!EK29</f>
        <v>0</v>
      </c>
      <c r="EL29" s="178">
        <f>Т!EL29</f>
        <v>0</v>
      </c>
      <c r="EM29" s="178">
        <f>Т!EM29</f>
        <v>0</v>
      </c>
      <c r="EN29" s="179"/>
      <c r="EO29" s="179"/>
      <c r="EP29" s="179"/>
      <c r="EQ29" s="178">
        <f>Т!EQ29</f>
        <v>0</v>
      </c>
      <c r="ER29" s="178">
        <f>Т!ER29</f>
        <v>0</v>
      </c>
      <c r="ES29" s="178">
        <f>Т!ES29</f>
        <v>0</v>
      </c>
      <c r="ET29" s="178">
        <f>Т!ET29</f>
        <v>0</v>
      </c>
      <c r="EU29" s="178">
        <f>Т!EU29</f>
        <v>0</v>
      </c>
      <c r="EV29" s="178">
        <f>Т!EV29</f>
        <v>0</v>
      </c>
      <c r="EW29" s="178">
        <f>Т!EW29</f>
        <v>0</v>
      </c>
      <c r="EX29" s="178">
        <f>Т!EX29</f>
        <v>0</v>
      </c>
      <c r="EY29" s="178">
        <f>Т!EY29</f>
        <v>0</v>
      </c>
      <c r="EZ29" s="178">
        <f>Т!EZ29</f>
        <v>0</v>
      </c>
      <c r="FA29" s="178">
        <f>Т!FA29</f>
        <v>0</v>
      </c>
      <c r="FB29" s="178">
        <f>Т!FB29</f>
        <v>0</v>
      </c>
      <c r="FC29" s="178">
        <f>Т!FC29</f>
        <v>0</v>
      </c>
      <c r="FD29" s="178">
        <f>Т!FD29</f>
        <v>0</v>
      </c>
      <c r="FE29" s="178">
        <f>Т!FE29</f>
        <v>0</v>
      </c>
      <c r="FF29" s="179"/>
      <c r="FG29" s="179"/>
      <c r="FH29" s="179"/>
      <c r="FI29" s="179"/>
      <c r="FJ29" s="179"/>
      <c r="FK29" s="229"/>
      <c r="FL29" s="176"/>
      <c r="FM29" s="176"/>
      <c r="FN29" s="176"/>
      <c r="FO29" s="371"/>
      <c r="FP29" s="372" t="str">
        <f>IF(PLAN_201X!$B19="18",IF(PLAN_201X!$H19="","",PLAN_201X!$H19),"")</f>
        <v>смесь отработанных масел (орг №47 Ставропольская ГРЭС) цена определена делением стоимости ресурса, относимой на комбинированную выработку энергии, на его количество в тоннах</v>
      </c>
      <c r="FQ29" s="372" t="str">
        <f>IF(PLAN_201X!$B19="18",IF(PLAN_201X!$I19="","",PLAN_201X!$I19),"")</f>
        <v/>
      </c>
      <c r="FR29" s="372" t="str">
        <f>IF(PLAN_201X!$B19="18",IF(PLAN_201X!$J19="","",PLAN_201X!$J19),"")</f>
        <v>смесь отработанных масел (орг №50 Ставропольская ГРЭС) цена определена делением стоимости ресурса, относимой на комбинированную выработку энергии, на его количество в тоннах</v>
      </c>
      <c r="FS29" s="171"/>
      <c r="FT29" s="221" t="s">
        <v>1747</v>
      </c>
      <c r="FU29" s="221" t="str">
        <f>FT29</f>
        <v>Прочие виды топлива</v>
      </c>
      <c r="FV29" s="230"/>
      <c r="FW29" s="230"/>
      <c r="FX29" s="230">
        <f>SUMIF(PLAN_201X!$B$2:$B$19,PLAN_201X!$B19,PLAN_201X!E$2:E$19)</f>
        <v>0</v>
      </c>
      <c r="FY29" s="83"/>
      <c r="FZ29" s="59"/>
    </row>
    <row r="30" spans="6:182" s="58" customFormat="1" ht="22.5" customHeight="1">
      <c r="O30" s="47"/>
      <c r="AA30" s="168"/>
      <c r="FT30" s="217"/>
      <c r="FU30" s="217"/>
      <c r="FV30" s="217"/>
      <c r="FW30" s="217"/>
      <c r="FX30" s="217"/>
    </row>
    <row r="31" spans="6:182" s="58" customFormat="1" ht="22.5" customHeight="1">
      <c r="O31" s="47"/>
      <c r="P31" s="47"/>
      <c r="Q31" s="47"/>
      <c r="R31" s="47"/>
      <c r="S31" s="47"/>
      <c r="AA31" s="168"/>
    </row>
    <row r="32" spans="6:182" s="58" customFormat="1" ht="12" customHeight="1">
      <c r="O32" s="458" t="e">
        <f ca="1">IF(FY12="YAPR","",IF(FY12="NAPR","Отчёт по теплоснабжению SUMMARY.BALANCE.CALC.TARIFF.WARM.2014.PLAN отклонён. Просьба обратить внимание на плановые показатели по топливу в указанном отчёте перед заполнением данных мониторинга "&amp;GetTemplateCode(),IF(FY12="APRL","Отчёт по теплоснабжению SUMMARY.BALANCE.CALC.TARIFF.WARM.2014.PLAN на проверке. Просьба обратить внимание на плановые показатели по топливу в указанном отчёте перед заполнением данных мониторинга "&amp;GetTemplateCode(),"Данные из отчёта по теплоснабжению SUMMARY.BALANCE.CALC.TARIFF.WARM.2014.PLAN отсутствуют")))</f>
        <v>#NAME?</v>
      </c>
      <c r="P32" s="458"/>
      <c r="Q32" s="458"/>
      <c r="R32" s="458"/>
      <c r="S32" s="458"/>
      <c r="AA32" s="168"/>
    </row>
    <row r="33" spans="9:27" s="58" customFormat="1" ht="12" customHeight="1">
      <c r="O33" s="458"/>
      <c r="P33" s="458"/>
      <c r="Q33" s="458"/>
      <c r="R33" s="458"/>
      <c r="S33" s="458"/>
      <c r="AA33" s="168"/>
    </row>
    <row r="34" spans="9:27" s="58" customFormat="1" ht="12" customHeight="1">
      <c r="O34" s="458"/>
      <c r="P34" s="458"/>
      <c r="Q34" s="458"/>
      <c r="R34" s="458"/>
      <c r="S34" s="458"/>
      <c r="AA34" s="168"/>
    </row>
    <row r="35" spans="9:27" s="58" customFormat="1" ht="12" customHeight="1">
      <c r="I35" s="47"/>
      <c r="J35" s="47"/>
      <c r="K35" s="47"/>
      <c r="AA35" s="168"/>
    </row>
    <row r="36" spans="9:27" s="58" customFormat="1" ht="12" customHeight="1">
      <c r="I36" s="47"/>
      <c r="J36" s="47"/>
      <c r="K36" s="47"/>
      <c r="O36" s="338" t="s">
        <v>1658</v>
      </c>
      <c r="P36" s="339"/>
      <c r="Q36" s="339"/>
      <c r="R36" s="339"/>
      <c r="S36" s="339"/>
      <c r="AA36" s="168"/>
    </row>
    <row r="37" spans="9:27" s="58" customFormat="1" ht="12" customHeight="1">
      <c r="I37" s="47"/>
      <c r="J37" s="47"/>
      <c r="K37" s="47"/>
      <c r="O37" s="338" t="s">
        <v>1753</v>
      </c>
      <c r="P37" s="339"/>
      <c r="Q37" s="339"/>
      <c r="R37" s="339"/>
      <c r="S37" s="339"/>
      <c r="AA37" s="168"/>
    </row>
    <row r="38" spans="9:27" s="58" customFormat="1" ht="12" customHeight="1">
      <c r="I38" s="47"/>
      <c r="J38" s="47"/>
      <c r="K38" s="47"/>
      <c r="O38" s="340" t="s">
        <v>20</v>
      </c>
      <c r="P38" s="339"/>
      <c r="Q38" s="339"/>
      <c r="R38" s="339"/>
      <c r="S38" s="339"/>
      <c r="AA38" s="168"/>
    </row>
    <row r="39" spans="9:27" s="58" customFormat="1" ht="12" customHeight="1">
      <c r="I39" s="47"/>
      <c r="J39" s="47"/>
      <c r="K39" s="47"/>
      <c r="O39" s="340" t="s">
        <v>1754</v>
      </c>
      <c r="P39" s="339"/>
      <c r="Q39" s="339"/>
      <c r="R39" s="339"/>
      <c r="S39" s="339"/>
      <c r="AA39" s="168"/>
    </row>
    <row r="40" spans="9:27" s="58" customFormat="1" ht="12" customHeight="1">
      <c r="O40" s="340" t="s">
        <v>1755</v>
      </c>
      <c r="P40" s="339"/>
      <c r="Q40" s="339"/>
      <c r="R40" s="339"/>
      <c r="S40" s="339"/>
      <c r="AA40" s="168"/>
    </row>
    <row r="41" spans="9:27" s="58" customFormat="1" ht="12" customHeight="1">
      <c r="I41" s="47"/>
      <c r="J41" s="47"/>
      <c r="K41" s="47"/>
      <c r="O41" s="338" t="s">
        <v>25</v>
      </c>
      <c r="P41" s="339"/>
      <c r="Q41" s="339"/>
      <c r="R41" s="339"/>
      <c r="S41" s="339"/>
      <c r="AA41" s="168"/>
    </row>
    <row r="42" spans="9:27" s="58" customFormat="1" ht="12" customHeight="1">
      <c r="O42" s="47"/>
      <c r="P42" s="47"/>
      <c r="Q42" s="47"/>
      <c r="R42" s="47"/>
      <c r="S42" s="47"/>
      <c r="AA42" s="168"/>
    </row>
    <row r="43" spans="9:27" s="58" customFormat="1" ht="12" customHeight="1">
      <c r="O43" s="47"/>
      <c r="P43" s="47"/>
      <c r="Q43" s="47"/>
      <c r="R43" s="47"/>
      <c r="S43" s="47"/>
      <c r="AA43" s="168"/>
    </row>
    <row r="44" spans="9:27" s="58" customFormat="1" ht="12" customHeight="1">
      <c r="O44" s="47"/>
      <c r="P44" s="47"/>
      <c r="Q44" s="47"/>
      <c r="R44" s="47"/>
      <c r="S44" s="47"/>
      <c r="AA44" s="168"/>
    </row>
    <row r="45" spans="9:27" s="58" customFormat="1" ht="12" customHeight="1">
      <c r="O45" s="47"/>
      <c r="P45" s="47"/>
      <c r="Q45" s="47"/>
      <c r="R45" s="47"/>
      <c r="S45" s="47"/>
      <c r="AA45" s="168"/>
    </row>
    <row r="46" spans="9:27" s="58" customFormat="1" ht="12" customHeight="1">
      <c r="O46" s="47"/>
      <c r="P46" s="47"/>
      <c r="Q46" s="47"/>
      <c r="R46" s="47"/>
      <c r="S46" s="47"/>
      <c r="AA46" s="168"/>
    </row>
    <row r="47" spans="9:27" s="58" customFormat="1" ht="12" customHeight="1">
      <c r="O47" s="47"/>
      <c r="P47" s="47"/>
      <c r="Q47" s="47"/>
      <c r="R47" s="47"/>
      <c r="S47" s="47"/>
      <c r="AA47" s="168"/>
    </row>
    <row r="48" spans="9:27" s="58" customFormat="1" ht="12" customHeight="1">
      <c r="AA48" s="168"/>
    </row>
    <row r="49" spans="5:28" s="58" customFormat="1" ht="12" customHeight="1">
      <c r="AA49" s="168"/>
    </row>
    <row r="50" spans="5:28" s="58" customFormat="1" ht="12" customHeight="1">
      <c r="AA50" s="168"/>
    </row>
    <row r="51" spans="5:28" s="58" customFormat="1" ht="12" customHeight="1">
      <c r="O51" s="47"/>
      <c r="P51" s="47"/>
      <c r="Q51" s="47"/>
      <c r="R51" s="47"/>
      <c r="S51" s="47"/>
      <c r="AA51" s="168"/>
    </row>
    <row r="52" spans="5:28" s="58" customFormat="1" ht="12" customHeight="1">
      <c r="O52" s="47"/>
      <c r="P52" s="47"/>
      <c r="Q52" s="47"/>
      <c r="R52" s="47"/>
      <c r="S52" s="47"/>
      <c r="AA52" s="168"/>
    </row>
    <row r="53" spans="5:28" s="58" customFormat="1" ht="12" customHeight="1">
      <c r="O53" s="47"/>
      <c r="P53" s="47"/>
      <c r="Q53" s="47"/>
      <c r="R53" s="47"/>
      <c r="S53" s="47"/>
      <c r="AA53" s="168"/>
    </row>
    <row r="54" spans="5:28" s="58" customFormat="1" ht="12" customHeight="1">
      <c r="O54" s="47"/>
      <c r="P54" s="47"/>
      <c r="Q54" s="47"/>
      <c r="R54" s="47"/>
      <c r="S54" s="47"/>
      <c r="AA54" s="168"/>
    </row>
    <row r="55" spans="5:28" s="58" customFormat="1" ht="12" customHeight="1">
      <c r="O55" s="47"/>
      <c r="P55" s="47"/>
      <c r="Q55" s="47"/>
      <c r="R55" s="47"/>
      <c r="S55" s="47"/>
      <c r="AA55" s="168"/>
    </row>
    <row r="56" spans="5:28" s="58" customFormat="1" ht="12" customHeight="1">
      <c r="O56" s="47"/>
      <c r="P56" s="47"/>
      <c r="Q56" s="47"/>
      <c r="R56" s="47"/>
      <c r="S56" s="47"/>
      <c r="AA56" s="168"/>
    </row>
    <row r="57" spans="5:28" s="58" customFormat="1" ht="12" customHeight="1">
      <c r="O57" s="47"/>
      <c r="P57" s="47"/>
      <c r="Q57" s="47"/>
      <c r="R57" s="47"/>
      <c r="S57" s="47"/>
      <c r="AA57" s="168"/>
    </row>
    <row r="58" spans="5:28" s="58" customFormat="1" ht="12" customHeight="1">
      <c r="O58" s="47"/>
      <c r="P58" s="47"/>
      <c r="Q58" s="47"/>
      <c r="R58" s="47"/>
      <c r="S58" s="47"/>
      <c r="AA58" s="168"/>
    </row>
    <row r="59" spans="5:28" s="58" customFormat="1" ht="12" customHeight="1">
      <c r="O59" s="47"/>
      <c r="P59" s="47"/>
      <c r="Q59" s="47"/>
      <c r="R59" s="47"/>
      <c r="S59" s="47"/>
      <c r="AA59" s="168"/>
    </row>
    <row r="60" spans="5:28" s="58" customFormat="1" ht="12" customHeight="1">
      <c r="AA60" s="168"/>
    </row>
    <row r="61" spans="5:28" s="58" customFormat="1" ht="12" customHeight="1">
      <c r="AA61" s="168"/>
    </row>
    <row r="62" spans="5:28" s="58" customFormat="1" ht="12" customHeight="1">
      <c r="AA62" s="168"/>
    </row>
    <row r="63" spans="5:28" s="58" customFormat="1" ht="12" customHeight="1">
      <c r="AA63" s="168"/>
    </row>
    <row r="64" spans="5:28" s="142" customFormat="1" ht="12" customHeight="1">
      <c r="E64" s="58"/>
      <c r="F64" s="58"/>
      <c r="G64" s="58"/>
      <c r="H64" s="58"/>
      <c r="I64" s="58"/>
      <c r="J64" s="58"/>
      <c r="K64" s="58"/>
      <c r="L64" s="58"/>
      <c r="M64" s="58"/>
      <c r="N64" s="58"/>
      <c r="AA64" s="169"/>
      <c r="AB64" s="47"/>
    </row>
    <row r="65" spans="1:14" ht="15" customHeight="1">
      <c r="A65" s="52"/>
      <c r="B65" s="52"/>
      <c r="C65" s="52"/>
      <c r="D65" s="52"/>
      <c r="E65" s="58"/>
      <c r="F65" s="58"/>
      <c r="G65" s="58"/>
      <c r="H65" s="58"/>
      <c r="I65" s="58"/>
      <c r="J65" s="58"/>
      <c r="K65" s="58"/>
      <c r="L65" s="58"/>
      <c r="M65" s="58"/>
      <c r="N65" s="58"/>
    </row>
    <row r="66" spans="1:14" ht="15" customHeight="1">
      <c r="A66" s="52"/>
      <c r="B66" s="52"/>
      <c r="C66" s="52"/>
      <c r="D66" s="52"/>
      <c r="E66" s="58"/>
      <c r="F66" s="58"/>
      <c r="G66" s="58"/>
      <c r="H66" s="58"/>
      <c r="I66" s="58"/>
      <c r="J66" s="58"/>
      <c r="K66" s="58"/>
      <c r="L66" s="58"/>
      <c r="M66" s="58"/>
      <c r="N66" s="58"/>
    </row>
    <row r="67" spans="1:14" ht="15" customHeight="1">
      <c r="A67" s="52"/>
      <c r="B67" s="52"/>
      <c r="C67" s="52"/>
      <c r="D67" s="52"/>
      <c r="E67" s="58"/>
      <c r="F67" s="58"/>
      <c r="G67" s="58"/>
      <c r="H67" s="58"/>
      <c r="I67" s="58"/>
      <c r="J67" s="58"/>
      <c r="K67" s="58"/>
      <c r="L67" s="58"/>
      <c r="M67" s="58"/>
      <c r="N67" s="58"/>
    </row>
    <row r="68" spans="1:14" ht="15" customHeight="1">
      <c r="A68" s="52"/>
      <c r="B68" s="52"/>
      <c r="C68" s="52"/>
      <c r="D68" s="52"/>
      <c r="E68" s="58"/>
      <c r="F68" s="58"/>
      <c r="G68" s="58"/>
      <c r="H68" s="58"/>
      <c r="I68" s="58"/>
      <c r="J68" s="58"/>
      <c r="K68" s="58"/>
      <c r="L68" s="58"/>
      <c r="M68" s="58"/>
      <c r="N68" s="58"/>
    </row>
    <row r="69" spans="1:14" ht="15" customHeight="1">
      <c r="A69" s="52"/>
      <c r="B69" s="52"/>
      <c r="C69" s="52"/>
      <c r="D69" s="52"/>
      <c r="E69" s="58"/>
      <c r="F69" s="58"/>
      <c r="G69" s="58"/>
      <c r="H69" s="58"/>
      <c r="I69" s="58"/>
      <c r="J69" s="58"/>
      <c r="K69" s="58"/>
      <c r="L69" s="58"/>
      <c r="M69" s="58"/>
      <c r="N69" s="58"/>
    </row>
    <row r="70" spans="1:14" ht="15" customHeight="1">
      <c r="A70" s="52"/>
      <c r="B70" s="52"/>
      <c r="C70" s="52"/>
      <c r="D70" s="52"/>
      <c r="E70" s="58"/>
      <c r="F70" s="58"/>
      <c r="G70" s="58"/>
      <c r="H70" s="58"/>
      <c r="I70" s="58"/>
      <c r="J70" s="58"/>
      <c r="K70" s="58"/>
      <c r="L70" s="58"/>
      <c r="M70" s="58"/>
      <c r="N70" s="58"/>
    </row>
    <row r="71" spans="1:14" ht="15" customHeight="1">
      <c r="A71" s="52"/>
      <c r="B71" s="52"/>
      <c r="C71" s="52"/>
      <c r="D71" s="52"/>
      <c r="E71" s="58"/>
      <c r="F71" s="58"/>
      <c r="G71" s="58"/>
      <c r="H71" s="58"/>
      <c r="I71" s="58"/>
      <c r="J71" s="58"/>
      <c r="K71" s="58"/>
      <c r="L71" s="58"/>
      <c r="M71" s="58"/>
      <c r="N71" s="58"/>
    </row>
    <row r="72" spans="1:14" ht="15" customHeight="1">
      <c r="A72" s="52"/>
      <c r="B72" s="52"/>
      <c r="C72" s="52"/>
      <c r="D72" s="52"/>
      <c r="E72" s="58"/>
      <c r="F72" s="58"/>
      <c r="G72" s="58"/>
      <c r="H72" s="58"/>
      <c r="I72" s="58"/>
      <c r="J72" s="58"/>
      <c r="K72" s="58"/>
      <c r="L72" s="58"/>
      <c r="M72" s="58"/>
      <c r="N72" s="58"/>
    </row>
    <row r="73" spans="1:14" ht="15" customHeight="1">
      <c r="A73" s="52"/>
      <c r="B73" s="52"/>
      <c r="C73" s="52"/>
      <c r="D73" s="52"/>
      <c r="E73" s="58"/>
      <c r="F73" s="58"/>
      <c r="G73" s="58"/>
      <c r="H73" s="58"/>
      <c r="I73" s="58"/>
      <c r="J73" s="58"/>
      <c r="K73" s="58"/>
      <c r="L73" s="58"/>
      <c r="M73" s="58"/>
      <c r="N73" s="58"/>
    </row>
    <row r="74" spans="1:14" ht="15" customHeight="1">
      <c r="A74" s="52"/>
      <c r="B74" s="52"/>
      <c r="C74" s="52"/>
      <c r="D74" s="52"/>
      <c r="E74" s="58"/>
      <c r="F74" s="58"/>
      <c r="G74" s="58"/>
      <c r="H74" s="58"/>
      <c r="I74" s="58"/>
      <c r="J74" s="58"/>
      <c r="K74" s="58"/>
      <c r="L74" s="58"/>
      <c r="M74" s="58"/>
      <c r="N74" s="58"/>
    </row>
    <row r="75" spans="1:14" ht="15" customHeight="1">
      <c r="A75" s="52"/>
      <c r="B75" s="52"/>
      <c r="C75" s="52"/>
      <c r="D75" s="52"/>
      <c r="E75" s="58"/>
      <c r="F75" s="58"/>
      <c r="G75" s="58"/>
      <c r="H75" s="58"/>
      <c r="I75" s="58"/>
      <c r="J75" s="58"/>
      <c r="K75" s="58"/>
      <c r="L75" s="58"/>
      <c r="M75" s="58"/>
      <c r="N75" s="58"/>
    </row>
    <row r="76" spans="1:14" ht="15" customHeight="1">
      <c r="A76" s="52"/>
      <c r="B76" s="52"/>
      <c r="C76" s="52"/>
      <c r="D76" s="52"/>
      <c r="E76" s="58"/>
      <c r="F76" s="58"/>
      <c r="G76" s="58"/>
      <c r="H76" s="58"/>
      <c r="I76" s="58"/>
      <c r="J76" s="58"/>
      <c r="K76" s="58"/>
      <c r="L76" s="58"/>
      <c r="M76" s="58"/>
      <c r="N76" s="58"/>
    </row>
    <row r="77" spans="1:14" ht="15" customHeight="1">
      <c r="A77" s="52"/>
      <c r="B77" s="52"/>
      <c r="C77" s="52"/>
      <c r="D77" s="52"/>
      <c r="E77" s="58"/>
      <c r="F77" s="58"/>
      <c r="G77" s="58"/>
      <c r="H77" s="58"/>
      <c r="I77" s="58"/>
      <c r="J77" s="58"/>
      <c r="K77" s="58"/>
      <c r="L77" s="58"/>
      <c r="M77" s="58"/>
      <c r="N77" s="58"/>
    </row>
    <row r="78" spans="1:14" ht="15" customHeight="1">
      <c r="A78" s="52"/>
      <c r="B78" s="52"/>
      <c r="C78" s="52"/>
      <c r="D78" s="52"/>
      <c r="E78" s="58"/>
      <c r="F78" s="58"/>
      <c r="G78" s="58"/>
      <c r="H78" s="58"/>
      <c r="I78" s="58"/>
      <c r="J78" s="58"/>
      <c r="K78" s="58"/>
      <c r="L78" s="58"/>
      <c r="M78" s="58"/>
      <c r="N78" s="58"/>
    </row>
    <row r="79" spans="1:14" ht="15" customHeight="1">
      <c r="A79" s="52"/>
      <c r="B79" s="52"/>
      <c r="C79" s="52"/>
      <c r="D79" s="52"/>
      <c r="E79" s="58"/>
      <c r="F79" s="58"/>
      <c r="G79" s="58"/>
      <c r="H79" s="58"/>
      <c r="I79" s="58"/>
      <c r="J79" s="58"/>
      <c r="K79" s="58"/>
      <c r="L79" s="58"/>
      <c r="M79" s="58"/>
      <c r="N79" s="58"/>
    </row>
    <row r="80" spans="1:14" ht="15" customHeight="1">
      <c r="A80" s="52"/>
      <c r="B80" s="52"/>
      <c r="C80" s="52"/>
      <c r="D80" s="52"/>
      <c r="E80" s="58"/>
      <c r="F80" s="58"/>
      <c r="G80" s="58"/>
      <c r="H80" s="58"/>
      <c r="I80" s="58"/>
      <c r="J80" s="58"/>
      <c r="K80" s="58"/>
      <c r="L80" s="58"/>
      <c r="M80" s="58"/>
      <c r="N80" s="58"/>
    </row>
    <row r="81" spans="1:14" ht="15" customHeight="1">
      <c r="A81" s="52"/>
      <c r="B81" s="52"/>
      <c r="C81" s="52"/>
      <c r="D81" s="52"/>
      <c r="E81" s="58"/>
      <c r="F81" s="58"/>
      <c r="G81" s="58"/>
      <c r="H81" s="58"/>
      <c r="I81" s="58"/>
      <c r="J81" s="58"/>
      <c r="K81" s="58"/>
      <c r="L81" s="58"/>
      <c r="M81" s="58"/>
      <c r="N81" s="58"/>
    </row>
    <row r="82" spans="1:14" ht="15" customHeight="1">
      <c r="A82" s="52"/>
      <c r="B82" s="52"/>
      <c r="C82" s="52"/>
      <c r="D82" s="52"/>
      <c r="E82" s="58"/>
      <c r="F82" s="58"/>
      <c r="G82" s="58"/>
      <c r="H82" s="58"/>
      <c r="I82" s="58"/>
      <c r="J82" s="58"/>
      <c r="K82" s="58"/>
      <c r="L82" s="58"/>
      <c r="M82" s="58"/>
      <c r="N82" s="58"/>
    </row>
    <row r="83" spans="1:14" ht="15" customHeight="1">
      <c r="A83" s="52"/>
      <c r="B83" s="52"/>
      <c r="C83" s="52"/>
      <c r="D83" s="52"/>
      <c r="E83" s="58"/>
      <c r="F83" s="58"/>
      <c r="G83" s="58"/>
      <c r="H83" s="58"/>
      <c r="I83" s="58"/>
      <c r="J83" s="58"/>
      <c r="K83" s="58"/>
      <c r="L83" s="58"/>
      <c r="M83" s="58"/>
      <c r="N83" s="58"/>
    </row>
    <row r="84" spans="1:14" ht="15" customHeight="1">
      <c r="A84" s="52"/>
      <c r="B84" s="52"/>
      <c r="C84" s="52"/>
      <c r="D84" s="52"/>
      <c r="E84" s="58"/>
      <c r="F84" s="58"/>
      <c r="G84" s="58"/>
      <c r="H84" s="58"/>
      <c r="I84" s="58"/>
      <c r="J84" s="58"/>
      <c r="K84" s="58"/>
      <c r="L84" s="58"/>
      <c r="M84" s="58"/>
      <c r="N84" s="58"/>
    </row>
    <row r="85" spans="1:14" ht="15" customHeight="1">
      <c r="A85" s="52"/>
      <c r="B85" s="52"/>
      <c r="C85" s="52"/>
      <c r="D85" s="52"/>
      <c r="E85" s="58"/>
      <c r="F85" s="58"/>
      <c r="G85" s="58"/>
      <c r="H85" s="58"/>
      <c r="I85" s="58"/>
      <c r="J85" s="58"/>
      <c r="K85" s="58"/>
      <c r="L85" s="58"/>
      <c r="M85" s="58"/>
      <c r="N85" s="58"/>
    </row>
    <row r="86" spans="1:14" ht="15" customHeight="1">
      <c r="A86" s="52"/>
      <c r="B86" s="52"/>
      <c r="C86" s="52"/>
      <c r="D86" s="52"/>
      <c r="E86" s="58"/>
      <c r="F86" s="58"/>
      <c r="G86" s="58"/>
      <c r="H86" s="58"/>
      <c r="I86" s="58"/>
      <c r="J86" s="58"/>
      <c r="K86" s="58"/>
      <c r="L86" s="58"/>
      <c r="M86" s="58"/>
      <c r="N86" s="58"/>
    </row>
    <row r="87" spans="1:14" ht="15" customHeight="1">
      <c r="A87" s="52"/>
      <c r="B87" s="52"/>
      <c r="C87" s="52"/>
      <c r="D87" s="52"/>
      <c r="E87" s="58"/>
      <c r="F87" s="58"/>
      <c r="G87" s="58"/>
      <c r="H87" s="58"/>
      <c r="I87" s="58"/>
      <c r="J87" s="58"/>
      <c r="K87" s="58"/>
      <c r="L87" s="58"/>
      <c r="M87" s="58"/>
      <c r="N87" s="58"/>
    </row>
    <row r="88" spans="1:14" ht="24" customHeight="1">
      <c r="A88" s="52"/>
      <c r="B88" s="52"/>
      <c r="C88" s="52"/>
      <c r="D88" s="52"/>
      <c r="E88" s="58"/>
      <c r="F88" s="58"/>
      <c r="G88" s="58"/>
      <c r="H88" s="58"/>
      <c r="I88" s="58"/>
      <c r="J88" s="58"/>
      <c r="K88" s="58"/>
      <c r="L88" s="58"/>
      <c r="M88" s="58"/>
      <c r="N88" s="58"/>
    </row>
    <row r="89" spans="1:14" ht="15" customHeight="1">
      <c r="A89" s="52"/>
      <c r="B89" s="52"/>
      <c r="C89" s="52"/>
      <c r="D89" s="52"/>
      <c r="E89" s="58"/>
      <c r="F89" s="58"/>
      <c r="G89" s="58"/>
      <c r="H89" s="58"/>
      <c r="I89" s="58"/>
      <c r="J89" s="58"/>
      <c r="K89" s="58"/>
      <c r="L89" s="58"/>
      <c r="M89" s="58"/>
      <c r="N89" s="58"/>
    </row>
    <row r="90" spans="1:14" ht="15" customHeight="1">
      <c r="A90" s="52"/>
      <c r="B90" s="52"/>
      <c r="C90" s="52"/>
      <c r="D90" s="52"/>
      <c r="E90" s="58"/>
      <c r="F90" s="58"/>
      <c r="G90" s="58"/>
      <c r="H90" s="58"/>
      <c r="I90" s="58"/>
      <c r="J90" s="58"/>
      <c r="K90" s="58"/>
      <c r="L90" s="58"/>
      <c r="M90" s="58"/>
      <c r="N90" s="58"/>
    </row>
    <row r="91" spans="1:14" ht="15" customHeight="1">
      <c r="A91" s="52"/>
      <c r="B91" s="52"/>
      <c r="C91" s="52"/>
      <c r="D91" s="52"/>
      <c r="E91" s="58"/>
      <c r="F91" s="58"/>
      <c r="G91" s="58"/>
      <c r="H91" s="58"/>
      <c r="I91" s="58"/>
      <c r="J91" s="58"/>
      <c r="K91" s="58"/>
      <c r="L91" s="58"/>
      <c r="M91" s="58"/>
      <c r="N91" s="58"/>
    </row>
    <row r="92" spans="1:14" ht="15" customHeight="1">
      <c r="A92" s="52"/>
      <c r="B92" s="52"/>
      <c r="C92" s="52"/>
      <c r="D92" s="52"/>
      <c r="E92" s="58"/>
      <c r="F92" s="58"/>
      <c r="G92" s="58"/>
      <c r="H92" s="58"/>
      <c r="I92" s="58"/>
      <c r="J92" s="58"/>
      <c r="K92" s="58"/>
      <c r="L92" s="58"/>
      <c r="M92" s="58"/>
      <c r="N92" s="58"/>
    </row>
    <row r="93" spans="1:14" ht="15" customHeight="1">
      <c r="A93" s="52"/>
      <c r="B93" s="52"/>
      <c r="C93" s="52"/>
      <c r="D93" s="52"/>
      <c r="E93" s="58"/>
      <c r="F93" s="58"/>
      <c r="G93" s="58"/>
      <c r="H93" s="58"/>
      <c r="I93" s="58"/>
      <c r="J93" s="58"/>
      <c r="K93" s="58"/>
      <c r="L93" s="58"/>
      <c r="M93" s="58"/>
      <c r="N93" s="58"/>
    </row>
    <row r="94" spans="1:14" ht="15" customHeight="1">
      <c r="A94" s="52"/>
      <c r="B94" s="52"/>
      <c r="C94" s="52"/>
      <c r="D94" s="52"/>
      <c r="E94" s="58"/>
      <c r="F94" s="58"/>
      <c r="G94" s="58"/>
      <c r="H94" s="58"/>
      <c r="I94" s="58"/>
      <c r="J94" s="58"/>
      <c r="K94" s="58"/>
      <c r="L94" s="58"/>
      <c r="M94" s="58"/>
      <c r="N94" s="58"/>
    </row>
    <row r="95" spans="1:14" ht="15" customHeight="1">
      <c r="A95" s="52"/>
      <c r="B95" s="52"/>
      <c r="C95" s="52"/>
      <c r="D95" s="52"/>
      <c r="E95" s="58"/>
      <c r="F95" s="58"/>
      <c r="G95" s="58"/>
      <c r="H95" s="58"/>
      <c r="I95" s="58"/>
      <c r="J95" s="58"/>
      <c r="K95" s="58"/>
      <c r="L95" s="58"/>
      <c r="M95" s="58"/>
      <c r="N95" s="58"/>
    </row>
    <row r="96" spans="1:14" ht="15" customHeight="1">
      <c r="A96" s="52"/>
      <c r="B96" s="52"/>
      <c r="C96" s="52"/>
      <c r="D96" s="52"/>
      <c r="E96" s="58"/>
      <c r="F96" s="58"/>
      <c r="G96" s="58"/>
      <c r="H96" s="58"/>
      <c r="I96" s="58"/>
      <c r="J96" s="58"/>
      <c r="K96" s="58"/>
      <c r="L96" s="58"/>
      <c r="M96" s="58"/>
      <c r="N96" s="58"/>
    </row>
    <row r="97" spans="1:14" ht="24" customHeight="1">
      <c r="A97" s="52"/>
      <c r="B97" s="52"/>
      <c r="C97" s="52"/>
      <c r="D97" s="52"/>
      <c r="E97" s="58"/>
      <c r="F97" s="58"/>
      <c r="G97" s="58"/>
      <c r="H97" s="58"/>
      <c r="I97" s="58"/>
      <c r="J97" s="58"/>
      <c r="K97" s="58"/>
      <c r="L97" s="58"/>
      <c r="M97" s="58"/>
      <c r="N97" s="58"/>
    </row>
    <row r="98" spans="1:14" ht="24" customHeight="1">
      <c r="A98" s="52"/>
      <c r="B98" s="52"/>
      <c r="C98" s="52"/>
      <c r="D98" s="52"/>
      <c r="E98" s="58"/>
      <c r="F98" s="58"/>
      <c r="G98" s="58"/>
      <c r="H98" s="58"/>
      <c r="I98" s="58"/>
      <c r="J98" s="58"/>
      <c r="K98" s="58"/>
      <c r="L98" s="58"/>
      <c r="M98" s="58"/>
      <c r="N98" s="58"/>
    </row>
    <row r="99" spans="1:14" ht="24" customHeight="1">
      <c r="A99" s="52"/>
      <c r="B99" s="52"/>
      <c r="C99" s="52"/>
      <c r="D99" s="52"/>
      <c r="E99" s="58"/>
      <c r="F99" s="58"/>
      <c r="G99" s="58"/>
      <c r="H99" s="58"/>
      <c r="I99" s="58"/>
      <c r="J99" s="58"/>
      <c r="K99" s="58"/>
      <c r="L99" s="58"/>
      <c r="M99" s="58"/>
      <c r="N99" s="58"/>
    </row>
    <row r="100" spans="1:14" ht="15" customHeight="1">
      <c r="A100" s="52"/>
      <c r="B100" s="52"/>
      <c r="C100" s="52"/>
      <c r="D100" s="52"/>
      <c r="E100" s="58"/>
      <c r="F100" s="58"/>
      <c r="G100" s="58"/>
      <c r="H100" s="58"/>
      <c r="I100" s="58"/>
      <c r="J100" s="58"/>
      <c r="K100" s="58"/>
      <c r="L100" s="58"/>
      <c r="M100" s="58"/>
      <c r="N100" s="58"/>
    </row>
    <row r="101" spans="1:14" ht="15" customHeight="1">
      <c r="A101" s="52"/>
      <c r="B101" s="52"/>
      <c r="C101" s="52"/>
      <c r="D101" s="52"/>
      <c r="E101" s="58"/>
      <c r="F101" s="58"/>
      <c r="G101" s="58"/>
      <c r="H101" s="58"/>
      <c r="I101" s="58"/>
      <c r="J101" s="58"/>
      <c r="K101" s="58"/>
      <c r="L101" s="58"/>
      <c r="M101" s="58"/>
      <c r="N101" s="58"/>
    </row>
    <row r="102" spans="1:14" ht="15" customHeight="1">
      <c r="A102" s="52"/>
      <c r="B102" s="52"/>
      <c r="C102" s="52"/>
      <c r="D102" s="52"/>
      <c r="E102" s="58"/>
      <c r="F102" s="58"/>
      <c r="G102" s="58"/>
      <c r="H102" s="58"/>
      <c r="I102" s="58"/>
      <c r="J102" s="58"/>
      <c r="K102" s="58"/>
      <c r="L102" s="58"/>
      <c r="M102" s="58"/>
      <c r="N102" s="58"/>
    </row>
    <row r="103" spans="1:14" ht="15" customHeight="1">
      <c r="A103" s="52"/>
      <c r="B103" s="52"/>
      <c r="C103" s="52"/>
      <c r="D103" s="52"/>
      <c r="E103" s="58"/>
      <c r="F103" s="58"/>
      <c r="G103" s="58"/>
      <c r="H103" s="58"/>
      <c r="I103" s="58"/>
      <c r="J103" s="58"/>
      <c r="K103" s="58"/>
      <c r="L103" s="58"/>
      <c r="M103" s="58"/>
      <c r="N103" s="58"/>
    </row>
    <row r="104" spans="1:14" ht="15" customHeight="1">
      <c r="A104" s="52"/>
      <c r="B104" s="52"/>
      <c r="C104" s="52"/>
      <c r="D104" s="52"/>
      <c r="E104" s="58"/>
      <c r="F104" s="58"/>
      <c r="G104" s="58"/>
      <c r="H104" s="58"/>
      <c r="I104" s="58"/>
      <c r="J104" s="58"/>
      <c r="K104" s="58"/>
      <c r="L104" s="58"/>
      <c r="M104" s="58"/>
      <c r="N104" s="58"/>
    </row>
    <row r="105" spans="1:14" ht="15" customHeight="1">
      <c r="A105" s="52"/>
      <c r="B105" s="52"/>
      <c r="C105" s="52"/>
      <c r="D105" s="52"/>
      <c r="E105" s="58"/>
      <c r="F105" s="58"/>
      <c r="G105" s="58"/>
      <c r="H105" s="58"/>
      <c r="I105" s="58"/>
      <c r="J105" s="58"/>
      <c r="K105" s="58"/>
      <c r="L105" s="58"/>
      <c r="M105" s="58"/>
      <c r="N105" s="58"/>
    </row>
    <row r="106" spans="1:14" ht="15" customHeight="1">
      <c r="A106" s="52"/>
      <c r="B106" s="52"/>
      <c r="C106" s="52"/>
      <c r="D106" s="52"/>
      <c r="E106" s="58"/>
      <c r="F106" s="58"/>
      <c r="G106" s="58"/>
      <c r="H106" s="58"/>
      <c r="I106" s="58"/>
      <c r="J106" s="58"/>
      <c r="K106" s="58"/>
      <c r="L106" s="58"/>
      <c r="M106" s="58"/>
      <c r="N106" s="58"/>
    </row>
    <row r="107" spans="1:14" ht="15" customHeight="1">
      <c r="A107" s="52"/>
      <c r="B107" s="52"/>
      <c r="C107" s="52"/>
      <c r="D107" s="52"/>
      <c r="E107" s="58"/>
      <c r="F107" s="58"/>
      <c r="G107" s="58"/>
      <c r="H107" s="58"/>
      <c r="I107" s="58"/>
      <c r="J107" s="58"/>
      <c r="K107" s="58"/>
      <c r="L107" s="58"/>
      <c r="M107" s="58"/>
      <c r="N107" s="58"/>
    </row>
    <row r="108" spans="1:14" ht="15" customHeight="1">
      <c r="A108" s="52"/>
      <c r="B108" s="52"/>
      <c r="C108" s="52"/>
      <c r="D108" s="52"/>
      <c r="E108" s="58"/>
      <c r="F108" s="58"/>
      <c r="G108" s="58"/>
      <c r="H108" s="58"/>
      <c r="I108" s="58"/>
      <c r="J108" s="58"/>
      <c r="K108" s="58"/>
      <c r="L108" s="58"/>
      <c r="M108" s="58"/>
      <c r="N108" s="58"/>
    </row>
    <row r="109" spans="1:14" ht="15" customHeight="1">
      <c r="A109" s="52"/>
      <c r="B109" s="52"/>
      <c r="C109" s="52"/>
      <c r="D109" s="52"/>
      <c r="E109" s="58"/>
      <c r="F109" s="58"/>
      <c r="G109" s="58"/>
      <c r="H109" s="58"/>
      <c r="I109" s="58"/>
      <c r="J109" s="58"/>
      <c r="K109" s="58"/>
      <c r="L109" s="58"/>
      <c r="M109" s="58"/>
      <c r="N109" s="58"/>
    </row>
    <row r="110" spans="1:14" ht="15" customHeight="1">
      <c r="A110" s="52"/>
      <c r="B110" s="52"/>
      <c r="C110" s="52"/>
      <c r="D110" s="52"/>
      <c r="E110" s="58"/>
      <c r="F110" s="58"/>
      <c r="G110" s="58"/>
      <c r="H110" s="58"/>
      <c r="I110" s="58"/>
      <c r="J110" s="58"/>
      <c r="K110" s="58"/>
      <c r="L110" s="58"/>
      <c r="M110" s="58"/>
      <c r="N110" s="58"/>
    </row>
    <row r="111" spans="1:14" ht="15" customHeight="1">
      <c r="A111" s="52"/>
      <c r="B111" s="52"/>
      <c r="C111" s="52"/>
      <c r="D111" s="52"/>
      <c r="E111" s="58"/>
      <c r="F111" s="58"/>
      <c r="G111" s="58"/>
      <c r="H111" s="58"/>
      <c r="I111" s="58"/>
      <c r="J111" s="58"/>
      <c r="K111" s="58"/>
      <c r="L111" s="58"/>
      <c r="M111" s="58"/>
      <c r="N111" s="58"/>
    </row>
    <row r="112" spans="1:14" ht="15" customHeight="1">
      <c r="A112" s="52"/>
      <c r="B112" s="52"/>
      <c r="C112" s="52"/>
      <c r="D112" s="52"/>
      <c r="E112" s="58"/>
      <c r="F112" s="58"/>
      <c r="G112" s="58"/>
      <c r="H112" s="58"/>
      <c r="I112" s="58"/>
      <c r="J112" s="58"/>
      <c r="K112" s="58"/>
      <c r="L112" s="58"/>
      <c r="M112" s="58"/>
      <c r="N112" s="58"/>
    </row>
    <row r="113" spans="1:14" ht="15" customHeight="1">
      <c r="A113" s="52"/>
      <c r="B113" s="52"/>
      <c r="C113" s="52"/>
      <c r="D113" s="52"/>
      <c r="E113" s="58"/>
      <c r="F113" s="58"/>
      <c r="G113" s="58"/>
      <c r="H113" s="58"/>
      <c r="I113" s="58"/>
      <c r="J113" s="58"/>
      <c r="K113" s="58"/>
      <c r="L113" s="58"/>
      <c r="M113" s="58"/>
      <c r="N113" s="58"/>
    </row>
    <row r="114" spans="1:14" ht="15" customHeight="1">
      <c r="A114" s="52"/>
      <c r="B114" s="52"/>
      <c r="C114" s="52"/>
      <c r="D114" s="52"/>
      <c r="E114" s="58"/>
      <c r="F114" s="58"/>
      <c r="G114" s="58"/>
      <c r="H114" s="58"/>
      <c r="I114" s="58"/>
      <c r="J114" s="58"/>
      <c r="K114" s="58"/>
      <c r="L114" s="58"/>
      <c r="M114" s="58"/>
      <c r="N114" s="58"/>
    </row>
    <row r="115" spans="1:14" ht="15" customHeight="1">
      <c r="A115" s="52"/>
      <c r="B115" s="52"/>
      <c r="C115" s="52"/>
      <c r="D115" s="52"/>
      <c r="E115" s="58"/>
      <c r="F115" s="58"/>
      <c r="G115" s="58"/>
      <c r="H115" s="58"/>
      <c r="I115" s="58"/>
      <c r="J115" s="58"/>
      <c r="K115" s="58"/>
      <c r="L115" s="58"/>
      <c r="M115" s="58"/>
      <c r="N115" s="58"/>
    </row>
    <row r="116" spans="1:14" ht="15" customHeight="1">
      <c r="A116" s="52"/>
      <c r="B116" s="52"/>
      <c r="C116" s="52"/>
      <c r="D116" s="52"/>
      <c r="E116" s="58"/>
      <c r="F116" s="58"/>
      <c r="G116" s="58"/>
      <c r="H116" s="58"/>
      <c r="I116" s="58"/>
      <c r="J116" s="58"/>
      <c r="K116" s="58"/>
      <c r="L116" s="58"/>
      <c r="M116" s="58"/>
      <c r="N116" s="58"/>
    </row>
    <row r="117" spans="1:14" ht="15" customHeight="1">
      <c r="A117" s="52"/>
      <c r="B117" s="52"/>
      <c r="C117" s="52"/>
      <c r="D117" s="52"/>
      <c r="E117" s="58"/>
      <c r="F117" s="58"/>
      <c r="G117" s="58"/>
      <c r="H117" s="58"/>
      <c r="I117" s="58"/>
      <c r="J117" s="58"/>
      <c r="K117" s="58"/>
      <c r="L117" s="58"/>
      <c r="M117" s="58"/>
      <c r="N117" s="58"/>
    </row>
    <row r="118" spans="1:14" ht="15" customHeight="1">
      <c r="A118" s="52"/>
      <c r="B118" s="52"/>
      <c r="C118" s="52"/>
      <c r="D118" s="52"/>
      <c r="E118" s="58"/>
      <c r="F118" s="58"/>
      <c r="G118" s="58"/>
      <c r="H118" s="58"/>
      <c r="I118" s="58"/>
      <c r="J118" s="58"/>
      <c r="K118" s="58"/>
      <c r="L118" s="58"/>
      <c r="M118" s="58"/>
      <c r="N118" s="58"/>
    </row>
    <row r="119" spans="1:14" ht="15" customHeight="1">
      <c r="A119" s="52"/>
      <c r="B119" s="52"/>
      <c r="C119" s="52"/>
      <c r="D119" s="52"/>
      <c r="E119" s="58"/>
      <c r="F119" s="58"/>
      <c r="G119" s="58"/>
      <c r="H119" s="58"/>
      <c r="I119" s="58"/>
      <c r="J119" s="58"/>
      <c r="K119" s="58"/>
      <c r="L119" s="58"/>
      <c r="M119" s="58"/>
      <c r="N119" s="58"/>
    </row>
    <row r="120" spans="1:14" ht="24" customHeight="1">
      <c r="A120" s="52"/>
      <c r="B120" s="52"/>
      <c r="C120" s="52"/>
      <c r="D120" s="52"/>
      <c r="E120" s="58"/>
      <c r="F120" s="58"/>
      <c r="G120" s="58"/>
      <c r="H120" s="58"/>
      <c r="I120" s="58"/>
      <c r="J120" s="58"/>
      <c r="K120" s="58"/>
      <c r="L120" s="58"/>
      <c r="M120" s="58"/>
      <c r="N120" s="58"/>
    </row>
    <row r="121" spans="1:14" ht="15" customHeight="1">
      <c r="A121" s="52"/>
      <c r="B121" s="52"/>
      <c r="C121" s="52"/>
      <c r="D121" s="52"/>
      <c r="E121" s="58"/>
      <c r="F121" s="58"/>
      <c r="G121" s="58"/>
      <c r="H121" s="58"/>
      <c r="I121" s="58"/>
      <c r="J121" s="58"/>
      <c r="K121" s="58"/>
      <c r="L121" s="58"/>
      <c r="M121" s="58"/>
      <c r="N121" s="58"/>
    </row>
    <row r="122" spans="1:14" ht="15" customHeight="1">
      <c r="A122" s="52"/>
      <c r="B122" s="52"/>
      <c r="C122" s="52"/>
      <c r="D122" s="52"/>
      <c r="E122" s="58"/>
      <c r="F122" s="58"/>
      <c r="G122" s="58"/>
      <c r="H122" s="58"/>
      <c r="I122" s="58"/>
      <c r="J122" s="58"/>
      <c r="K122" s="58"/>
      <c r="L122" s="58"/>
      <c r="M122" s="58"/>
      <c r="N122" s="58"/>
    </row>
    <row r="123" spans="1:14" ht="15" customHeight="1">
      <c r="A123" s="52"/>
      <c r="B123" s="52"/>
      <c r="C123" s="52"/>
      <c r="D123" s="52"/>
      <c r="E123" s="58"/>
      <c r="F123" s="58"/>
      <c r="G123" s="58"/>
      <c r="H123" s="58"/>
      <c r="I123" s="58"/>
      <c r="J123" s="58"/>
      <c r="K123" s="58"/>
      <c r="L123" s="58"/>
      <c r="M123" s="58"/>
      <c r="N123" s="58"/>
    </row>
    <row r="124" spans="1:14" ht="15" customHeight="1">
      <c r="A124" s="52"/>
      <c r="B124" s="52"/>
      <c r="C124" s="52"/>
      <c r="D124" s="52"/>
      <c r="E124" s="58"/>
      <c r="F124" s="58"/>
      <c r="G124" s="58"/>
      <c r="H124" s="58"/>
      <c r="I124" s="58"/>
      <c r="J124" s="58"/>
      <c r="K124" s="58"/>
      <c r="L124" s="58"/>
      <c r="M124" s="58"/>
      <c r="N124" s="58"/>
    </row>
    <row r="125" spans="1:14" ht="15" customHeight="1">
      <c r="A125" s="52"/>
      <c r="B125" s="52"/>
      <c r="C125" s="52"/>
      <c r="D125" s="52"/>
      <c r="E125" s="58"/>
      <c r="F125" s="58"/>
      <c r="G125" s="58"/>
      <c r="H125" s="58"/>
      <c r="I125" s="58"/>
      <c r="J125" s="58"/>
      <c r="K125" s="58"/>
      <c r="L125" s="58"/>
      <c r="M125" s="58"/>
      <c r="N125" s="58"/>
    </row>
    <row r="126" spans="1:14" ht="15" customHeight="1">
      <c r="A126" s="52"/>
      <c r="B126" s="52"/>
      <c r="C126" s="52"/>
      <c r="D126" s="52"/>
      <c r="E126" s="58"/>
      <c r="F126" s="58"/>
      <c r="G126" s="58"/>
      <c r="H126" s="58"/>
      <c r="I126" s="58"/>
      <c r="J126" s="58"/>
      <c r="K126" s="58"/>
      <c r="L126" s="58"/>
      <c r="M126" s="58"/>
      <c r="N126" s="58"/>
    </row>
    <row r="127" spans="1:14" ht="15" customHeight="1">
      <c r="A127" s="52"/>
      <c r="B127" s="52"/>
      <c r="C127" s="52"/>
      <c r="D127" s="52"/>
      <c r="E127" s="58"/>
      <c r="F127" s="58"/>
      <c r="G127" s="58"/>
      <c r="H127" s="58"/>
      <c r="I127" s="58"/>
      <c r="J127" s="58"/>
      <c r="K127" s="58"/>
      <c r="L127" s="58"/>
      <c r="M127" s="58"/>
      <c r="N127" s="58"/>
    </row>
    <row r="128" spans="1:14" ht="15" customHeight="1">
      <c r="A128" s="52"/>
      <c r="B128" s="52"/>
      <c r="C128" s="52"/>
      <c r="D128" s="52"/>
      <c r="E128" s="58"/>
      <c r="F128" s="58"/>
      <c r="G128" s="58"/>
      <c r="H128" s="58"/>
      <c r="I128" s="58"/>
      <c r="J128" s="58"/>
      <c r="K128" s="58"/>
      <c r="L128" s="58"/>
      <c r="M128" s="58"/>
      <c r="N128" s="58"/>
    </row>
    <row r="129" spans="1:14" ht="24" customHeight="1">
      <c r="A129" s="52"/>
      <c r="B129" s="52"/>
      <c r="C129" s="52"/>
      <c r="D129" s="52"/>
      <c r="E129" s="58"/>
      <c r="F129" s="58"/>
      <c r="G129" s="58"/>
      <c r="H129" s="58"/>
      <c r="I129" s="58"/>
      <c r="J129" s="58"/>
      <c r="K129" s="58"/>
      <c r="L129" s="58"/>
      <c r="M129" s="58"/>
      <c r="N129" s="58"/>
    </row>
    <row r="130" spans="1:14" ht="24" customHeight="1">
      <c r="A130" s="52"/>
      <c r="B130" s="52"/>
      <c r="C130" s="52"/>
      <c r="D130" s="52"/>
      <c r="E130" s="58"/>
      <c r="F130" s="58"/>
      <c r="G130" s="58"/>
      <c r="H130" s="58"/>
      <c r="I130" s="58"/>
      <c r="J130" s="58"/>
      <c r="K130" s="58"/>
      <c r="L130" s="58"/>
      <c r="M130" s="58"/>
      <c r="N130" s="58"/>
    </row>
    <row r="131" spans="1:14" ht="24" customHeight="1">
      <c r="A131" s="52"/>
      <c r="B131" s="52"/>
      <c r="C131" s="52"/>
      <c r="D131" s="52"/>
      <c r="E131" s="58"/>
      <c r="F131" s="58"/>
      <c r="G131" s="58"/>
      <c r="H131" s="58"/>
      <c r="I131" s="58"/>
      <c r="J131" s="58"/>
      <c r="K131" s="58"/>
      <c r="L131" s="58"/>
      <c r="M131" s="58"/>
      <c r="N131" s="58"/>
    </row>
    <row r="132" spans="1:14" ht="15" customHeight="1">
      <c r="A132" s="52"/>
      <c r="B132" s="52"/>
      <c r="C132" s="52"/>
      <c r="D132" s="52"/>
      <c r="E132" s="58"/>
      <c r="F132" s="58"/>
      <c r="G132" s="58"/>
      <c r="H132" s="58"/>
      <c r="I132" s="58"/>
      <c r="J132" s="58"/>
      <c r="K132" s="58"/>
      <c r="L132" s="58"/>
      <c r="M132" s="58"/>
      <c r="N132" s="58"/>
    </row>
    <row r="133" spans="1:14" ht="15" customHeight="1">
      <c r="A133" s="52"/>
      <c r="B133" s="52"/>
      <c r="C133" s="52"/>
      <c r="D133" s="52"/>
      <c r="E133" s="58"/>
      <c r="F133" s="58"/>
      <c r="G133" s="58"/>
      <c r="H133" s="58"/>
      <c r="I133" s="58"/>
      <c r="J133" s="58"/>
      <c r="K133" s="58"/>
      <c r="L133" s="58"/>
      <c r="M133" s="58"/>
      <c r="N133" s="58"/>
    </row>
    <row r="134" spans="1:14" ht="15" customHeight="1">
      <c r="A134" s="52"/>
      <c r="B134" s="52"/>
      <c r="C134" s="52"/>
      <c r="D134" s="52"/>
      <c r="E134" s="58"/>
      <c r="F134" s="58"/>
      <c r="G134" s="58"/>
      <c r="H134" s="58"/>
      <c r="I134" s="58"/>
      <c r="J134" s="58"/>
      <c r="K134" s="58"/>
      <c r="L134" s="58"/>
      <c r="M134" s="58"/>
      <c r="N134" s="58"/>
    </row>
    <row r="135" spans="1:14" ht="15" customHeight="1">
      <c r="A135" s="52"/>
      <c r="B135" s="52"/>
      <c r="C135" s="52"/>
      <c r="D135" s="52"/>
      <c r="E135" s="58"/>
      <c r="F135" s="58"/>
      <c r="G135" s="58"/>
      <c r="H135" s="58"/>
      <c r="I135" s="58"/>
      <c r="J135" s="58"/>
      <c r="K135" s="58"/>
      <c r="L135" s="58"/>
      <c r="M135" s="58"/>
      <c r="N135" s="58"/>
    </row>
    <row r="136" spans="1:14" ht="15" customHeight="1">
      <c r="A136" s="52"/>
      <c r="B136" s="52"/>
      <c r="C136" s="52"/>
      <c r="D136" s="52"/>
      <c r="E136" s="58"/>
      <c r="F136" s="58"/>
      <c r="G136" s="58"/>
      <c r="H136" s="58"/>
      <c r="I136" s="58"/>
      <c r="J136" s="58"/>
      <c r="K136" s="58"/>
      <c r="L136" s="58"/>
      <c r="M136" s="58"/>
      <c r="N136" s="58"/>
    </row>
    <row r="137" spans="1:14" ht="15" customHeight="1">
      <c r="A137" s="52"/>
      <c r="B137" s="52"/>
      <c r="C137" s="52"/>
      <c r="D137" s="52"/>
      <c r="E137" s="58"/>
      <c r="F137" s="58"/>
      <c r="G137" s="58"/>
      <c r="H137" s="58"/>
      <c r="I137" s="58"/>
      <c r="J137" s="58"/>
      <c r="K137" s="58"/>
      <c r="L137" s="58"/>
      <c r="M137" s="58"/>
      <c r="N137" s="58"/>
    </row>
    <row r="138" spans="1:14" ht="15" customHeight="1">
      <c r="A138" s="52"/>
      <c r="B138" s="52"/>
      <c r="C138" s="52"/>
      <c r="D138" s="52"/>
      <c r="E138" s="58"/>
      <c r="F138" s="58"/>
      <c r="G138" s="58"/>
      <c r="H138" s="58"/>
      <c r="I138" s="58"/>
      <c r="J138" s="58"/>
      <c r="K138" s="58"/>
      <c r="L138" s="58"/>
      <c r="M138" s="58"/>
      <c r="N138" s="58"/>
    </row>
    <row r="139" spans="1:14" ht="15" customHeight="1">
      <c r="A139" s="52"/>
      <c r="B139" s="52"/>
      <c r="C139" s="52"/>
      <c r="D139" s="52"/>
      <c r="E139" s="58"/>
      <c r="F139" s="58"/>
      <c r="G139" s="58"/>
      <c r="H139" s="58"/>
      <c r="I139" s="58"/>
      <c r="J139" s="58"/>
      <c r="K139" s="58"/>
      <c r="L139" s="58"/>
      <c r="M139" s="58"/>
      <c r="N139" s="58"/>
    </row>
    <row r="140" spans="1:14" ht="15" customHeight="1">
      <c r="A140" s="52"/>
      <c r="B140" s="52"/>
      <c r="C140" s="52"/>
      <c r="D140" s="52"/>
      <c r="E140" s="58"/>
      <c r="F140" s="58"/>
      <c r="G140" s="58"/>
      <c r="H140" s="58"/>
      <c r="I140" s="58"/>
      <c r="J140" s="58"/>
      <c r="K140" s="58"/>
      <c r="L140" s="58"/>
      <c r="M140" s="58"/>
      <c r="N140" s="58"/>
    </row>
    <row r="141" spans="1:14" ht="15" customHeight="1">
      <c r="A141" s="52"/>
      <c r="B141" s="52"/>
      <c r="C141" s="52"/>
      <c r="D141" s="52"/>
      <c r="E141" s="58"/>
      <c r="F141" s="58"/>
      <c r="G141" s="58"/>
      <c r="H141" s="58"/>
      <c r="I141" s="58"/>
      <c r="J141" s="58"/>
      <c r="K141" s="58"/>
      <c r="L141" s="58"/>
      <c r="M141" s="58"/>
      <c r="N141" s="58"/>
    </row>
    <row r="142" spans="1:14" ht="15" customHeight="1">
      <c r="A142" s="52"/>
      <c r="B142" s="52"/>
      <c r="C142" s="52"/>
      <c r="D142" s="52"/>
      <c r="E142" s="58"/>
      <c r="F142" s="58"/>
      <c r="G142" s="58"/>
      <c r="H142" s="58"/>
      <c r="I142" s="58"/>
      <c r="J142" s="58"/>
      <c r="K142" s="58"/>
      <c r="L142" s="58"/>
      <c r="M142" s="58"/>
      <c r="N142" s="58"/>
    </row>
    <row r="143" spans="1:14" ht="15" customHeight="1">
      <c r="A143" s="52"/>
      <c r="B143" s="52"/>
      <c r="C143" s="52"/>
      <c r="D143" s="52"/>
      <c r="E143" s="58"/>
      <c r="F143" s="58"/>
      <c r="G143" s="58"/>
      <c r="H143" s="58"/>
      <c r="I143" s="58"/>
      <c r="J143" s="58"/>
      <c r="K143" s="58"/>
      <c r="L143" s="58"/>
      <c r="M143" s="58"/>
      <c r="N143" s="58"/>
    </row>
    <row r="144" spans="1:14" ht="15" customHeight="1">
      <c r="A144" s="52"/>
      <c r="B144" s="52"/>
      <c r="C144" s="52"/>
      <c r="D144" s="52"/>
      <c r="E144" s="58"/>
      <c r="F144" s="58"/>
      <c r="G144" s="58"/>
      <c r="H144" s="58"/>
      <c r="I144" s="58"/>
      <c r="J144" s="58"/>
      <c r="K144" s="58"/>
      <c r="L144" s="58"/>
      <c r="M144" s="58"/>
      <c r="N144" s="58"/>
    </row>
    <row r="145" spans="1:14" ht="15" customHeight="1">
      <c r="A145" s="52"/>
      <c r="B145" s="52"/>
      <c r="C145" s="52"/>
      <c r="D145" s="52"/>
      <c r="E145" s="58"/>
      <c r="F145" s="58"/>
      <c r="G145" s="58"/>
      <c r="H145" s="58"/>
      <c r="I145" s="58"/>
      <c r="J145" s="58"/>
      <c r="K145" s="58"/>
      <c r="L145" s="58"/>
      <c r="M145" s="58"/>
      <c r="N145" s="58"/>
    </row>
    <row r="146" spans="1:14" ht="15" customHeight="1">
      <c r="A146" s="52"/>
      <c r="B146" s="52"/>
      <c r="C146" s="52"/>
      <c r="D146" s="52"/>
      <c r="E146" s="58"/>
      <c r="F146" s="58"/>
      <c r="G146" s="58"/>
      <c r="H146" s="58"/>
      <c r="I146" s="58"/>
      <c r="J146" s="58"/>
      <c r="K146" s="58"/>
      <c r="L146" s="58"/>
      <c r="M146" s="58"/>
      <c r="N146" s="58"/>
    </row>
    <row r="147" spans="1:14" ht="15" customHeight="1">
      <c r="A147" s="52"/>
      <c r="B147" s="52"/>
      <c r="C147" s="52"/>
      <c r="D147" s="52"/>
      <c r="E147" s="58"/>
      <c r="F147" s="58"/>
      <c r="G147" s="58"/>
      <c r="H147" s="58"/>
      <c r="I147" s="58"/>
      <c r="J147" s="58"/>
      <c r="K147" s="58"/>
      <c r="L147" s="58"/>
      <c r="M147" s="58"/>
      <c r="N147" s="58"/>
    </row>
    <row r="148" spans="1:14" ht="15" customHeight="1">
      <c r="A148" s="52"/>
      <c r="B148" s="52"/>
      <c r="C148" s="52"/>
      <c r="D148" s="52"/>
      <c r="E148" s="58"/>
      <c r="F148" s="58"/>
      <c r="G148" s="58"/>
      <c r="H148" s="58"/>
      <c r="I148" s="58"/>
      <c r="J148" s="58"/>
      <c r="K148" s="58"/>
      <c r="L148" s="58"/>
      <c r="M148" s="58"/>
      <c r="N148" s="58"/>
    </row>
    <row r="149" spans="1:14" ht="15" customHeight="1">
      <c r="A149" s="52"/>
      <c r="B149" s="52"/>
      <c r="C149" s="52"/>
      <c r="D149" s="52"/>
      <c r="E149" s="58"/>
      <c r="F149" s="58"/>
      <c r="G149" s="58"/>
      <c r="H149" s="58"/>
      <c r="I149" s="58"/>
      <c r="J149" s="58"/>
      <c r="K149" s="58"/>
      <c r="L149" s="58"/>
      <c r="M149" s="58"/>
      <c r="N149" s="58"/>
    </row>
    <row r="150" spans="1:14" ht="15" customHeight="1">
      <c r="A150" s="52"/>
      <c r="B150" s="52"/>
      <c r="C150" s="52"/>
      <c r="D150" s="52"/>
      <c r="E150" s="58"/>
      <c r="F150" s="58"/>
      <c r="G150" s="58"/>
      <c r="H150" s="58"/>
      <c r="I150" s="58"/>
      <c r="J150" s="58"/>
      <c r="K150" s="58"/>
      <c r="L150" s="58"/>
      <c r="M150" s="58"/>
      <c r="N150" s="58"/>
    </row>
    <row r="151" spans="1:14" ht="15" customHeight="1">
      <c r="A151" s="52"/>
      <c r="B151" s="52"/>
      <c r="C151" s="52"/>
      <c r="D151" s="52"/>
      <c r="E151" s="58"/>
      <c r="F151" s="58"/>
      <c r="G151" s="58"/>
      <c r="H151" s="58"/>
      <c r="I151" s="58"/>
      <c r="J151" s="58"/>
      <c r="K151" s="58"/>
      <c r="L151" s="58"/>
      <c r="M151" s="58"/>
      <c r="N151" s="58"/>
    </row>
    <row r="152" spans="1:14" ht="15" customHeight="1">
      <c r="A152" s="52"/>
      <c r="B152" s="52"/>
      <c r="C152" s="52"/>
      <c r="D152" s="52"/>
      <c r="E152" s="58"/>
      <c r="F152" s="58"/>
      <c r="G152" s="58"/>
      <c r="H152" s="58"/>
      <c r="I152" s="58"/>
      <c r="J152" s="58"/>
      <c r="K152" s="58"/>
      <c r="L152" s="58"/>
      <c r="M152" s="58"/>
      <c r="N152" s="58"/>
    </row>
    <row r="153" spans="1:14" ht="15" customHeight="1">
      <c r="A153" s="52"/>
      <c r="B153" s="52"/>
      <c r="C153" s="52"/>
      <c r="D153" s="52"/>
      <c r="E153" s="58"/>
      <c r="F153" s="58"/>
      <c r="G153" s="58"/>
      <c r="H153" s="58"/>
      <c r="I153" s="58"/>
      <c r="J153" s="58"/>
      <c r="K153" s="58"/>
      <c r="L153" s="58"/>
      <c r="M153" s="58"/>
      <c r="N153" s="58"/>
    </row>
    <row r="154" spans="1:14" ht="15" customHeight="1">
      <c r="A154" s="52"/>
      <c r="B154" s="52"/>
      <c r="C154" s="52"/>
      <c r="D154" s="52"/>
      <c r="E154" s="58"/>
      <c r="F154" s="58"/>
      <c r="G154" s="58"/>
      <c r="H154" s="58"/>
      <c r="I154" s="58"/>
      <c r="J154" s="58"/>
      <c r="K154" s="58"/>
      <c r="L154" s="58"/>
      <c r="M154" s="58"/>
      <c r="N154" s="58"/>
    </row>
    <row r="155" spans="1:14" ht="15" customHeight="1">
      <c r="A155" s="52"/>
      <c r="B155" s="52"/>
      <c r="C155" s="52"/>
      <c r="D155" s="52"/>
      <c r="E155" s="58"/>
      <c r="F155" s="58"/>
      <c r="G155" s="58"/>
      <c r="H155" s="58"/>
      <c r="I155" s="58"/>
      <c r="J155" s="58"/>
      <c r="K155" s="58"/>
      <c r="L155" s="58"/>
      <c r="M155" s="58"/>
      <c r="N155" s="58"/>
    </row>
    <row r="156" spans="1:14" ht="15" customHeight="1">
      <c r="A156" s="52"/>
      <c r="B156" s="52"/>
      <c r="C156" s="52"/>
      <c r="D156" s="52"/>
      <c r="E156" s="58"/>
      <c r="F156" s="58"/>
      <c r="G156" s="58"/>
      <c r="H156" s="58"/>
      <c r="I156" s="58"/>
      <c r="J156" s="58"/>
      <c r="K156" s="58"/>
      <c r="L156" s="58"/>
      <c r="M156" s="58"/>
      <c r="N156" s="58"/>
    </row>
    <row r="157" spans="1:14" ht="15" customHeight="1">
      <c r="A157" s="52"/>
      <c r="B157" s="52"/>
      <c r="C157" s="52"/>
      <c r="D157" s="52"/>
      <c r="E157" s="58"/>
      <c r="F157" s="58"/>
      <c r="G157" s="58"/>
      <c r="H157" s="58"/>
      <c r="I157" s="58"/>
      <c r="J157" s="58"/>
      <c r="K157" s="58"/>
      <c r="L157" s="58"/>
      <c r="M157" s="58"/>
      <c r="N157" s="58"/>
    </row>
    <row r="158" spans="1:14" ht="15" customHeight="1">
      <c r="A158" s="52"/>
      <c r="B158" s="52"/>
      <c r="C158" s="52"/>
      <c r="D158" s="52"/>
      <c r="E158" s="58"/>
      <c r="F158" s="58"/>
      <c r="G158" s="58"/>
      <c r="H158" s="58"/>
      <c r="I158" s="58"/>
      <c r="J158" s="58"/>
      <c r="K158" s="58"/>
      <c r="L158" s="58"/>
      <c r="M158" s="58"/>
      <c r="N158" s="58"/>
    </row>
    <row r="159" spans="1:14" ht="15" customHeight="1">
      <c r="A159" s="52"/>
      <c r="B159" s="52"/>
      <c r="C159" s="52"/>
      <c r="D159" s="52"/>
      <c r="E159" s="58"/>
      <c r="F159" s="58"/>
      <c r="G159" s="58"/>
      <c r="H159" s="58"/>
      <c r="I159" s="58"/>
      <c r="J159" s="58"/>
      <c r="K159" s="58"/>
      <c r="L159" s="58"/>
      <c r="M159" s="58"/>
      <c r="N159" s="58"/>
    </row>
    <row r="160" spans="1:14" ht="15" customHeight="1">
      <c r="A160" s="52"/>
      <c r="B160" s="52"/>
      <c r="C160" s="52"/>
      <c r="D160" s="52"/>
      <c r="E160" s="58"/>
      <c r="F160" s="58"/>
      <c r="G160" s="58"/>
      <c r="H160" s="58"/>
      <c r="I160" s="58"/>
      <c r="J160" s="58"/>
      <c r="K160" s="58"/>
      <c r="L160" s="58"/>
      <c r="M160" s="58"/>
      <c r="N160" s="58"/>
    </row>
    <row r="161" spans="1:14" ht="15" customHeight="1">
      <c r="A161" s="52"/>
      <c r="B161" s="52"/>
      <c r="C161" s="52"/>
      <c r="D161" s="52"/>
      <c r="E161" s="58"/>
      <c r="F161" s="58"/>
      <c r="G161" s="58"/>
      <c r="H161" s="58"/>
      <c r="I161" s="58"/>
      <c r="J161" s="58"/>
      <c r="K161" s="58"/>
      <c r="L161" s="58"/>
      <c r="M161" s="58"/>
      <c r="N161" s="58"/>
    </row>
    <row r="162" spans="1:14" ht="15" customHeight="1">
      <c r="A162" s="52"/>
      <c r="B162" s="52"/>
      <c r="C162" s="52"/>
      <c r="D162" s="52"/>
      <c r="E162" s="58"/>
      <c r="F162" s="58"/>
      <c r="G162" s="58"/>
      <c r="H162" s="58"/>
      <c r="I162" s="58"/>
      <c r="J162" s="58"/>
      <c r="K162" s="58"/>
      <c r="L162" s="58"/>
      <c r="M162" s="58"/>
      <c r="N162" s="58"/>
    </row>
    <row r="163" spans="1:14" ht="15" customHeight="1">
      <c r="A163" s="52"/>
      <c r="B163" s="52"/>
      <c r="C163" s="52"/>
      <c r="D163" s="52"/>
      <c r="E163" s="58"/>
      <c r="F163" s="58"/>
      <c r="G163" s="58"/>
      <c r="H163" s="58"/>
      <c r="I163" s="58"/>
      <c r="J163" s="58"/>
      <c r="K163" s="58"/>
      <c r="L163" s="58"/>
      <c r="M163" s="58"/>
      <c r="N163" s="58"/>
    </row>
    <row r="164" spans="1:14" ht="15" customHeight="1">
      <c r="A164" s="52"/>
      <c r="B164" s="52"/>
      <c r="C164" s="52"/>
      <c r="D164" s="52"/>
      <c r="E164" s="58"/>
      <c r="F164" s="58"/>
      <c r="G164" s="58"/>
      <c r="H164" s="58"/>
      <c r="I164" s="58"/>
      <c r="J164" s="58"/>
      <c r="K164" s="58"/>
      <c r="L164" s="58"/>
      <c r="M164" s="58"/>
      <c r="N164" s="58"/>
    </row>
    <row r="165" spans="1:14" ht="15" customHeight="1">
      <c r="A165" s="52"/>
      <c r="B165" s="52"/>
      <c r="C165" s="52"/>
      <c r="D165" s="52"/>
      <c r="E165" s="58"/>
      <c r="F165" s="58"/>
      <c r="G165" s="58"/>
      <c r="H165" s="58"/>
      <c r="I165" s="58"/>
      <c r="J165" s="58"/>
      <c r="K165" s="58"/>
      <c r="L165" s="58"/>
      <c r="M165" s="58"/>
      <c r="N165" s="58"/>
    </row>
    <row r="166" spans="1:14" ht="15" customHeight="1">
      <c r="A166" s="52"/>
      <c r="B166" s="52"/>
      <c r="C166" s="52"/>
      <c r="D166" s="52"/>
      <c r="E166" s="58"/>
      <c r="F166" s="58"/>
      <c r="G166" s="58"/>
      <c r="H166" s="58"/>
      <c r="I166" s="58"/>
      <c r="J166" s="58"/>
      <c r="K166" s="58"/>
      <c r="L166" s="58"/>
      <c r="M166" s="58"/>
      <c r="N166" s="58"/>
    </row>
    <row r="167" spans="1:14" ht="15" customHeight="1">
      <c r="A167" s="52"/>
      <c r="B167" s="52"/>
      <c r="C167" s="52"/>
      <c r="D167" s="52"/>
      <c r="E167" s="58"/>
      <c r="F167" s="58"/>
      <c r="G167" s="58"/>
      <c r="H167" s="58"/>
      <c r="I167" s="58"/>
      <c r="J167" s="58"/>
      <c r="K167" s="58"/>
      <c r="L167" s="58"/>
      <c r="M167" s="58"/>
      <c r="N167" s="58"/>
    </row>
    <row r="168" spans="1:14" ht="15" customHeight="1">
      <c r="A168" s="52"/>
      <c r="B168" s="52"/>
      <c r="C168" s="52"/>
      <c r="D168" s="52"/>
      <c r="E168" s="58"/>
      <c r="F168" s="58"/>
      <c r="G168" s="58"/>
      <c r="H168" s="58"/>
      <c r="I168" s="58"/>
      <c r="J168" s="58"/>
      <c r="K168" s="58"/>
      <c r="L168" s="58"/>
      <c r="M168" s="58"/>
      <c r="N168" s="58"/>
    </row>
    <row r="169" spans="1:14" ht="15" customHeight="1">
      <c r="A169" s="52"/>
      <c r="B169" s="52"/>
      <c r="C169" s="52"/>
      <c r="D169" s="52"/>
      <c r="E169" s="58"/>
      <c r="F169" s="58"/>
      <c r="G169" s="58"/>
      <c r="H169" s="58"/>
      <c r="I169" s="58"/>
      <c r="J169" s="58"/>
      <c r="K169" s="58"/>
      <c r="L169" s="58"/>
      <c r="M169" s="58"/>
      <c r="N169" s="58"/>
    </row>
    <row r="170" spans="1:14" ht="15" customHeight="1">
      <c r="A170" s="52"/>
      <c r="B170" s="52"/>
      <c r="C170" s="52"/>
      <c r="D170" s="52"/>
      <c r="E170" s="58"/>
      <c r="F170" s="58"/>
      <c r="G170" s="58"/>
      <c r="H170" s="58"/>
      <c r="I170" s="58"/>
      <c r="J170" s="58"/>
      <c r="K170" s="58"/>
      <c r="L170" s="58"/>
      <c r="M170" s="58"/>
      <c r="N170" s="58"/>
    </row>
    <row r="171" spans="1:14" ht="15" customHeight="1">
      <c r="A171" s="52"/>
      <c r="B171" s="52"/>
      <c r="C171" s="52"/>
      <c r="D171" s="52"/>
      <c r="E171" s="58"/>
      <c r="F171" s="58"/>
      <c r="G171" s="58"/>
      <c r="H171" s="58"/>
      <c r="I171" s="58"/>
      <c r="J171" s="58"/>
      <c r="K171" s="58"/>
      <c r="L171" s="58"/>
      <c r="M171" s="58"/>
      <c r="N171" s="58"/>
    </row>
    <row r="172" spans="1:14" ht="15" customHeight="1">
      <c r="A172" s="52"/>
      <c r="B172" s="52"/>
      <c r="C172" s="52"/>
      <c r="D172" s="52"/>
      <c r="E172" s="58"/>
      <c r="F172" s="58"/>
      <c r="G172" s="58"/>
      <c r="H172" s="58"/>
      <c r="I172" s="58"/>
      <c r="J172" s="58"/>
      <c r="K172" s="58"/>
      <c r="L172" s="58"/>
      <c r="M172" s="58"/>
      <c r="N172" s="58"/>
    </row>
    <row r="173" spans="1:14" ht="15" customHeight="1">
      <c r="A173" s="52"/>
      <c r="B173" s="52"/>
      <c r="C173" s="52"/>
      <c r="D173" s="52"/>
      <c r="E173" s="58"/>
      <c r="F173" s="58"/>
      <c r="G173" s="58"/>
      <c r="H173" s="58"/>
      <c r="I173" s="58"/>
      <c r="J173" s="58"/>
      <c r="K173" s="58"/>
      <c r="L173" s="58"/>
      <c r="M173" s="58"/>
      <c r="N173" s="58"/>
    </row>
    <row r="174" spans="1:14" ht="15" customHeight="1">
      <c r="A174" s="52"/>
      <c r="B174" s="52"/>
      <c r="C174" s="52"/>
      <c r="D174" s="52"/>
      <c r="E174" s="58"/>
      <c r="F174" s="58"/>
      <c r="G174" s="58"/>
      <c r="H174" s="58"/>
      <c r="I174" s="58"/>
      <c r="J174" s="58"/>
      <c r="K174" s="58"/>
      <c r="L174" s="58"/>
      <c r="M174" s="58"/>
      <c r="N174" s="58"/>
    </row>
    <row r="175" spans="1:14" ht="15" customHeight="1">
      <c r="A175" s="52"/>
      <c r="B175" s="52"/>
      <c r="C175" s="52"/>
      <c r="D175" s="52"/>
      <c r="E175" s="58"/>
      <c r="F175" s="58"/>
      <c r="G175" s="58"/>
      <c r="H175" s="58"/>
      <c r="I175" s="58"/>
      <c r="J175" s="58"/>
      <c r="K175" s="58"/>
      <c r="L175" s="58"/>
      <c r="M175" s="58"/>
      <c r="N175" s="58"/>
    </row>
    <row r="176" spans="1:14" ht="15" customHeight="1">
      <c r="A176" s="52"/>
      <c r="B176" s="52"/>
      <c r="C176" s="52"/>
      <c r="D176" s="52"/>
      <c r="E176" s="58"/>
      <c r="F176" s="58"/>
      <c r="G176" s="58"/>
      <c r="H176" s="58"/>
      <c r="I176" s="58"/>
      <c r="J176" s="58"/>
      <c r="K176" s="58"/>
      <c r="L176" s="58"/>
      <c r="M176" s="58"/>
      <c r="N176" s="58"/>
    </row>
    <row r="177" spans="1:14" ht="15" customHeight="1">
      <c r="A177" s="52"/>
      <c r="B177" s="52"/>
      <c r="C177" s="52"/>
      <c r="D177" s="52"/>
      <c r="E177" s="58"/>
      <c r="F177" s="58"/>
      <c r="G177" s="58"/>
      <c r="H177" s="58"/>
      <c r="I177" s="58"/>
      <c r="J177" s="58"/>
      <c r="K177" s="58"/>
      <c r="L177" s="58"/>
      <c r="M177" s="58"/>
      <c r="N177" s="58"/>
    </row>
    <row r="178" spans="1:14" ht="15" customHeight="1">
      <c r="A178" s="52"/>
      <c r="B178" s="52"/>
      <c r="C178" s="52"/>
      <c r="D178" s="52"/>
      <c r="E178" s="58"/>
      <c r="F178" s="58"/>
      <c r="G178" s="58"/>
      <c r="H178" s="58"/>
      <c r="I178" s="58"/>
      <c r="J178" s="58"/>
      <c r="K178" s="58"/>
      <c r="L178" s="58"/>
      <c r="M178" s="58"/>
      <c r="N178" s="58"/>
    </row>
    <row r="179" spans="1:14" ht="15" customHeight="1">
      <c r="A179" s="52"/>
      <c r="B179" s="52"/>
      <c r="C179" s="52"/>
      <c r="D179" s="52"/>
      <c r="E179" s="58"/>
      <c r="F179" s="58"/>
      <c r="G179" s="58"/>
      <c r="H179" s="58"/>
      <c r="I179" s="58"/>
      <c r="J179" s="58"/>
      <c r="K179" s="58"/>
      <c r="L179" s="58"/>
      <c r="M179" s="58"/>
      <c r="N179" s="58"/>
    </row>
    <row r="180" spans="1:14" ht="15" customHeight="1">
      <c r="A180" s="52"/>
      <c r="B180" s="52"/>
      <c r="C180" s="52"/>
      <c r="D180" s="52"/>
      <c r="E180" s="58"/>
      <c r="F180" s="58"/>
      <c r="G180" s="58"/>
      <c r="H180" s="58"/>
      <c r="I180" s="58"/>
      <c r="J180" s="58"/>
      <c r="K180" s="58"/>
      <c r="L180" s="58"/>
      <c r="M180" s="58"/>
      <c r="N180" s="58"/>
    </row>
    <row r="181" spans="1:14" ht="15" customHeight="1">
      <c r="A181" s="52"/>
      <c r="B181" s="52"/>
      <c r="C181" s="52"/>
      <c r="D181" s="52"/>
      <c r="E181" s="58"/>
      <c r="F181" s="58"/>
      <c r="G181" s="58"/>
      <c r="H181" s="58"/>
      <c r="I181" s="58"/>
      <c r="J181" s="58"/>
      <c r="K181" s="58"/>
      <c r="L181" s="58"/>
      <c r="M181" s="58"/>
      <c r="N181" s="58"/>
    </row>
    <row r="182" spans="1:14" ht="15" customHeight="1">
      <c r="A182" s="52"/>
      <c r="B182" s="52"/>
      <c r="C182" s="52"/>
      <c r="D182" s="52"/>
      <c r="E182" s="58"/>
      <c r="F182" s="58"/>
      <c r="G182" s="58"/>
      <c r="H182" s="58"/>
      <c r="I182" s="58"/>
      <c r="J182" s="58"/>
      <c r="K182" s="58"/>
      <c r="L182" s="58"/>
      <c r="M182" s="58"/>
      <c r="N182" s="58"/>
    </row>
    <row r="183" spans="1:14" ht="15" customHeight="1">
      <c r="A183" s="52"/>
      <c r="B183" s="52"/>
      <c r="C183" s="52"/>
      <c r="D183" s="52"/>
      <c r="E183" s="58"/>
      <c r="F183" s="58"/>
      <c r="G183" s="58"/>
      <c r="H183" s="58"/>
      <c r="I183" s="58"/>
      <c r="J183" s="58"/>
      <c r="K183" s="58"/>
      <c r="L183" s="58"/>
      <c r="M183" s="58"/>
      <c r="N183" s="58"/>
    </row>
    <row r="184" spans="1:14" ht="15" customHeight="1">
      <c r="A184" s="52"/>
      <c r="B184" s="52"/>
      <c r="C184" s="52"/>
      <c r="D184" s="52"/>
      <c r="E184" s="58"/>
      <c r="F184" s="58"/>
      <c r="G184" s="58"/>
      <c r="H184" s="58"/>
      <c r="I184" s="58"/>
      <c r="J184" s="58"/>
      <c r="K184" s="58"/>
      <c r="L184" s="58"/>
      <c r="M184" s="58"/>
      <c r="N184" s="58"/>
    </row>
    <row r="185" spans="1:14" ht="15" customHeight="1">
      <c r="A185" s="52"/>
      <c r="B185" s="52"/>
      <c r="C185" s="52"/>
      <c r="D185" s="52"/>
      <c r="E185" s="58"/>
      <c r="F185" s="58"/>
      <c r="G185" s="58"/>
      <c r="H185" s="58"/>
      <c r="I185" s="58"/>
      <c r="J185" s="58"/>
      <c r="K185" s="58"/>
      <c r="L185" s="58"/>
      <c r="M185" s="58"/>
      <c r="N185" s="58"/>
    </row>
    <row r="186" spans="1:14" ht="15" customHeight="1">
      <c r="A186" s="52"/>
      <c r="B186" s="52"/>
      <c r="C186" s="52"/>
      <c r="D186" s="52"/>
      <c r="E186" s="58"/>
      <c r="F186" s="58"/>
      <c r="G186" s="58"/>
      <c r="H186" s="58"/>
      <c r="I186" s="58"/>
      <c r="J186" s="58"/>
      <c r="K186" s="58"/>
      <c r="L186" s="58"/>
      <c r="M186" s="58"/>
      <c r="N186" s="58"/>
    </row>
    <row r="187" spans="1:14" ht="15" customHeight="1">
      <c r="A187" s="52"/>
      <c r="B187" s="52"/>
      <c r="C187" s="52"/>
      <c r="D187" s="52"/>
      <c r="E187" s="58"/>
      <c r="F187" s="58"/>
      <c r="G187" s="58"/>
      <c r="H187" s="58"/>
      <c r="I187" s="58"/>
      <c r="J187" s="58"/>
      <c r="K187" s="58"/>
      <c r="L187" s="58"/>
      <c r="M187" s="58"/>
      <c r="N187" s="58"/>
    </row>
    <row r="188" spans="1:14" ht="15" customHeight="1">
      <c r="A188" s="52"/>
      <c r="B188" s="52"/>
      <c r="C188" s="52"/>
      <c r="D188" s="52"/>
      <c r="E188" s="58"/>
      <c r="F188" s="58"/>
      <c r="G188" s="58"/>
      <c r="H188" s="58"/>
      <c r="I188" s="58"/>
      <c r="J188" s="58"/>
      <c r="K188" s="58"/>
      <c r="L188" s="58"/>
      <c r="M188" s="58"/>
      <c r="N188" s="58"/>
    </row>
    <row r="189" spans="1:14" ht="15" customHeight="1">
      <c r="A189" s="52"/>
      <c r="B189" s="52"/>
      <c r="C189" s="52"/>
      <c r="D189" s="52"/>
      <c r="E189" s="58"/>
      <c r="F189" s="58"/>
      <c r="G189" s="58"/>
      <c r="H189" s="58"/>
      <c r="I189" s="58"/>
      <c r="J189" s="58"/>
      <c r="K189" s="58"/>
      <c r="L189" s="58"/>
      <c r="M189" s="58"/>
      <c r="N189" s="58"/>
    </row>
    <row r="190" spans="1:14" ht="15" customHeight="1">
      <c r="A190" s="52"/>
      <c r="B190" s="52"/>
      <c r="C190" s="52"/>
      <c r="D190" s="52"/>
      <c r="E190" s="58"/>
      <c r="F190" s="58"/>
      <c r="G190" s="58"/>
      <c r="H190" s="58"/>
      <c r="I190" s="58"/>
      <c r="J190" s="58"/>
      <c r="K190" s="58"/>
      <c r="L190" s="58"/>
      <c r="M190" s="58"/>
      <c r="N190" s="58"/>
    </row>
    <row r="191" spans="1:14" ht="15" customHeight="1">
      <c r="A191" s="52"/>
      <c r="B191" s="52"/>
      <c r="C191" s="52"/>
      <c r="D191" s="52"/>
      <c r="E191" s="58"/>
      <c r="F191" s="58"/>
      <c r="G191" s="58"/>
      <c r="H191" s="58"/>
      <c r="I191" s="58"/>
      <c r="J191" s="58"/>
      <c r="K191" s="58"/>
      <c r="L191" s="58"/>
      <c r="M191" s="58"/>
      <c r="N191" s="58"/>
    </row>
    <row r="192" spans="1:14" ht="15" customHeight="1">
      <c r="A192" s="52"/>
      <c r="B192" s="52"/>
      <c r="C192" s="52"/>
      <c r="D192" s="52"/>
      <c r="E192" s="58"/>
      <c r="F192" s="58"/>
      <c r="G192" s="58"/>
      <c r="H192" s="58"/>
      <c r="I192" s="58"/>
      <c r="J192" s="58"/>
      <c r="K192" s="58"/>
      <c r="L192" s="58"/>
      <c r="M192" s="58"/>
      <c r="N192" s="58"/>
    </row>
    <row r="193" spans="1:14" ht="15" customHeight="1">
      <c r="A193" s="52"/>
      <c r="B193" s="52"/>
      <c r="C193" s="52"/>
      <c r="D193" s="52"/>
      <c r="E193" s="58"/>
      <c r="F193" s="58"/>
      <c r="G193" s="58"/>
      <c r="H193" s="58"/>
      <c r="I193" s="58"/>
      <c r="J193" s="58"/>
      <c r="K193" s="58"/>
      <c r="L193" s="58"/>
      <c r="M193" s="58"/>
      <c r="N193" s="58"/>
    </row>
    <row r="194" spans="1:14" ht="15" customHeight="1">
      <c r="A194" s="52"/>
      <c r="B194" s="52"/>
      <c r="C194" s="52"/>
      <c r="D194" s="52"/>
      <c r="E194" s="58"/>
      <c r="F194" s="58"/>
      <c r="G194" s="58"/>
      <c r="H194" s="58"/>
      <c r="I194" s="58"/>
      <c r="J194" s="58"/>
      <c r="K194" s="58"/>
      <c r="L194" s="58"/>
      <c r="M194" s="58"/>
      <c r="N194" s="58"/>
    </row>
    <row r="195" spans="1:14" ht="15" customHeight="1">
      <c r="A195" s="52"/>
      <c r="B195" s="52"/>
      <c r="C195" s="52"/>
      <c r="D195" s="52"/>
      <c r="E195" s="58"/>
      <c r="F195" s="58"/>
      <c r="G195" s="58"/>
      <c r="H195" s="58"/>
      <c r="I195" s="58"/>
      <c r="J195" s="58"/>
      <c r="K195" s="58"/>
      <c r="L195" s="58"/>
      <c r="M195" s="58"/>
      <c r="N195" s="58"/>
    </row>
    <row r="196" spans="1:14" ht="15" customHeight="1">
      <c r="A196" s="52"/>
      <c r="B196" s="52"/>
      <c r="C196" s="52"/>
      <c r="D196" s="52"/>
      <c r="E196" s="58"/>
      <c r="F196" s="58"/>
      <c r="G196" s="58"/>
      <c r="H196" s="58"/>
      <c r="I196" s="58"/>
      <c r="J196" s="58"/>
      <c r="K196" s="58"/>
      <c r="L196" s="58"/>
      <c r="M196" s="58"/>
      <c r="N196" s="58"/>
    </row>
    <row r="197" spans="1:14" ht="15" customHeight="1">
      <c r="A197" s="52"/>
      <c r="B197" s="52"/>
      <c r="C197" s="52"/>
      <c r="D197" s="52"/>
      <c r="E197" s="58"/>
      <c r="F197" s="58"/>
      <c r="G197" s="58"/>
      <c r="H197" s="58"/>
      <c r="I197" s="58"/>
      <c r="J197" s="58"/>
      <c r="K197" s="58"/>
      <c r="L197" s="58"/>
      <c r="M197" s="58"/>
      <c r="N197" s="58"/>
    </row>
    <row r="198" spans="1:14" ht="15" customHeight="1">
      <c r="A198" s="52"/>
      <c r="B198" s="52"/>
      <c r="C198" s="52"/>
      <c r="D198" s="52"/>
      <c r="E198" s="58"/>
      <c r="F198" s="58"/>
      <c r="G198" s="58"/>
      <c r="H198" s="58"/>
      <c r="I198" s="58"/>
      <c r="J198" s="58"/>
      <c r="K198" s="58"/>
      <c r="L198" s="58"/>
      <c r="M198" s="58"/>
      <c r="N198" s="58"/>
    </row>
    <row r="199" spans="1:14" ht="15" customHeight="1">
      <c r="A199" s="52"/>
      <c r="B199" s="52"/>
      <c r="C199" s="52"/>
      <c r="D199" s="52"/>
      <c r="E199" s="58"/>
      <c r="F199" s="58"/>
      <c r="G199" s="58"/>
      <c r="H199" s="58"/>
      <c r="I199" s="58"/>
      <c r="J199" s="58"/>
      <c r="K199" s="58"/>
      <c r="L199" s="58"/>
      <c r="M199" s="58"/>
      <c r="N199" s="58"/>
    </row>
    <row r="200" spans="1:14" ht="15" customHeight="1">
      <c r="A200" s="52"/>
      <c r="B200" s="52"/>
      <c r="C200" s="52"/>
      <c r="D200" s="52"/>
      <c r="E200" s="58"/>
      <c r="F200" s="58"/>
      <c r="G200" s="58"/>
      <c r="H200" s="58"/>
      <c r="I200" s="58"/>
      <c r="J200" s="58"/>
      <c r="K200" s="58"/>
      <c r="L200" s="58"/>
      <c r="M200" s="58"/>
      <c r="N200" s="58"/>
    </row>
    <row r="201" spans="1:14" ht="15" customHeight="1">
      <c r="A201" s="52"/>
      <c r="B201" s="52"/>
      <c r="C201" s="52"/>
      <c r="D201" s="52"/>
      <c r="E201" s="58"/>
      <c r="F201" s="58"/>
      <c r="G201" s="58"/>
      <c r="H201" s="58"/>
      <c r="I201" s="58"/>
      <c r="J201" s="58"/>
      <c r="K201" s="58"/>
      <c r="L201" s="58"/>
      <c r="M201" s="58"/>
      <c r="N201" s="58"/>
    </row>
    <row r="202" spans="1:14" ht="15" customHeight="1">
      <c r="A202" s="52"/>
      <c r="B202" s="52"/>
      <c r="C202" s="52"/>
      <c r="D202" s="52"/>
      <c r="E202" s="58"/>
      <c r="F202" s="58"/>
      <c r="G202" s="58"/>
      <c r="H202" s="58"/>
      <c r="I202" s="58"/>
      <c r="J202" s="58"/>
      <c r="K202" s="58"/>
      <c r="L202" s="58"/>
      <c r="M202" s="58"/>
      <c r="N202" s="58"/>
    </row>
    <row r="203" spans="1:14" ht="15" customHeight="1">
      <c r="E203" s="58"/>
      <c r="F203" s="58"/>
      <c r="G203" s="58"/>
      <c r="H203" s="58"/>
      <c r="I203" s="58"/>
      <c r="J203" s="58"/>
      <c r="K203" s="58"/>
      <c r="L203" s="58"/>
      <c r="M203" s="58"/>
      <c r="N203" s="58"/>
    </row>
    <row r="204" spans="1:14" ht="15" customHeight="1">
      <c r="A204" s="52"/>
      <c r="B204" s="52"/>
      <c r="C204" s="52"/>
      <c r="D204" s="52"/>
      <c r="E204" s="58"/>
      <c r="F204" s="58"/>
      <c r="G204" s="58"/>
      <c r="H204" s="58"/>
      <c r="I204" s="58"/>
      <c r="J204" s="58"/>
      <c r="K204" s="58"/>
      <c r="L204" s="58"/>
      <c r="M204" s="58"/>
      <c r="N204" s="58"/>
    </row>
    <row r="205" spans="1:14" ht="15" customHeight="1">
      <c r="A205" s="52"/>
      <c r="B205" s="52"/>
      <c r="C205" s="52"/>
      <c r="D205" s="52"/>
      <c r="E205" s="58"/>
      <c r="F205" s="58"/>
      <c r="G205" s="58"/>
      <c r="H205" s="58"/>
      <c r="I205" s="58"/>
      <c r="J205" s="58"/>
      <c r="K205" s="58"/>
      <c r="L205" s="58"/>
      <c r="M205" s="58"/>
      <c r="N205" s="58"/>
    </row>
    <row r="206" spans="1:14" ht="15" customHeight="1">
      <c r="A206" s="52"/>
      <c r="B206" s="52"/>
      <c r="C206" s="52"/>
      <c r="D206" s="52"/>
      <c r="E206" s="58"/>
      <c r="F206" s="58"/>
      <c r="G206" s="58"/>
      <c r="H206" s="58"/>
      <c r="I206" s="58"/>
      <c r="J206" s="58"/>
      <c r="K206" s="58"/>
      <c r="L206" s="58"/>
      <c r="M206" s="58"/>
      <c r="N206" s="58"/>
    </row>
    <row r="207" spans="1:14" ht="15" customHeight="1">
      <c r="A207" s="52"/>
      <c r="B207" s="52"/>
      <c r="C207" s="52"/>
      <c r="D207" s="52"/>
      <c r="E207" s="58"/>
      <c r="F207" s="58"/>
      <c r="G207" s="58"/>
      <c r="H207" s="58"/>
      <c r="I207" s="58"/>
      <c r="J207" s="58"/>
      <c r="K207" s="58"/>
      <c r="L207" s="58"/>
      <c r="M207" s="58"/>
      <c r="N207" s="58"/>
    </row>
    <row r="208" spans="1:14" ht="15" customHeight="1">
      <c r="A208" s="52"/>
      <c r="B208" s="52"/>
      <c r="C208" s="52"/>
      <c r="D208" s="52"/>
      <c r="E208" s="58"/>
      <c r="F208" s="58"/>
      <c r="G208" s="58"/>
      <c r="H208" s="58"/>
      <c r="I208" s="58"/>
      <c r="J208" s="58"/>
      <c r="K208" s="58"/>
      <c r="L208" s="58"/>
      <c r="M208" s="58"/>
      <c r="N208" s="58"/>
    </row>
    <row r="209" spans="1:14" ht="15" customHeight="1">
      <c r="A209" s="52"/>
      <c r="B209" s="52"/>
      <c r="C209" s="52"/>
      <c r="D209" s="52"/>
      <c r="E209" s="58"/>
      <c r="F209" s="58"/>
      <c r="G209" s="58"/>
      <c r="H209" s="58"/>
      <c r="I209" s="58"/>
      <c r="J209" s="58"/>
      <c r="K209" s="58"/>
      <c r="L209" s="58"/>
      <c r="M209" s="58"/>
      <c r="N209" s="58"/>
    </row>
    <row r="210" spans="1:14" ht="15" customHeight="1">
      <c r="A210" s="52"/>
      <c r="B210" s="52"/>
      <c r="C210" s="52"/>
      <c r="D210" s="52"/>
      <c r="E210" s="58"/>
      <c r="F210" s="58"/>
      <c r="G210" s="58"/>
      <c r="H210" s="58"/>
      <c r="I210" s="58"/>
      <c r="J210" s="58"/>
      <c r="K210" s="58"/>
      <c r="L210" s="58"/>
      <c r="M210" s="58"/>
      <c r="N210" s="58"/>
    </row>
    <row r="211" spans="1:14" ht="15" customHeight="1">
      <c r="A211" s="52"/>
      <c r="B211" s="52"/>
      <c r="C211" s="52"/>
      <c r="D211" s="52"/>
      <c r="E211" s="58"/>
      <c r="F211" s="58"/>
      <c r="G211" s="58"/>
      <c r="H211" s="58"/>
      <c r="I211" s="58"/>
      <c r="J211" s="58"/>
      <c r="K211" s="58"/>
      <c r="L211" s="58"/>
      <c r="M211" s="58"/>
      <c r="N211" s="58"/>
    </row>
    <row r="212" spans="1:14" ht="15" customHeight="1">
      <c r="A212" s="52"/>
      <c r="B212" s="52"/>
      <c r="C212" s="52"/>
      <c r="D212" s="52"/>
      <c r="E212" s="58"/>
      <c r="F212" s="58"/>
      <c r="G212" s="58"/>
      <c r="H212" s="58"/>
      <c r="I212" s="58"/>
      <c r="J212" s="58"/>
      <c r="K212" s="58"/>
      <c r="L212" s="58"/>
      <c r="M212" s="58"/>
      <c r="N212" s="58"/>
    </row>
    <row r="213" spans="1:14" ht="15" customHeight="1">
      <c r="E213" s="58"/>
      <c r="F213" s="58"/>
      <c r="G213" s="58"/>
      <c r="H213" s="58"/>
      <c r="I213" s="58"/>
      <c r="J213" s="58"/>
      <c r="K213" s="58"/>
      <c r="L213" s="58"/>
      <c r="M213" s="58"/>
      <c r="N213" s="58"/>
    </row>
    <row r="214" spans="1:14" ht="15" customHeight="1">
      <c r="A214" s="52"/>
      <c r="B214" s="52"/>
      <c r="C214" s="52"/>
      <c r="D214" s="52"/>
      <c r="E214" s="58"/>
      <c r="F214" s="58"/>
      <c r="G214" s="58"/>
      <c r="H214" s="58"/>
      <c r="I214" s="58"/>
      <c r="J214" s="58"/>
      <c r="K214" s="58"/>
      <c r="L214" s="58"/>
      <c r="M214" s="58"/>
      <c r="N214" s="58"/>
    </row>
    <row r="215" spans="1:14" ht="15" customHeight="1">
      <c r="A215" s="52"/>
      <c r="B215" s="52"/>
      <c r="C215" s="52"/>
      <c r="D215" s="52"/>
      <c r="E215" s="58"/>
      <c r="F215" s="58"/>
      <c r="G215" s="58"/>
      <c r="H215" s="58"/>
      <c r="I215" s="58"/>
      <c r="J215" s="58"/>
      <c r="K215" s="58"/>
      <c r="L215" s="58"/>
      <c r="M215" s="58"/>
      <c r="N215" s="58"/>
    </row>
    <row r="216" spans="1:14" ht="15" customHeight="1">
      <c r="A216" s="52"/>
      <c r="B216" s="52"/>
      <c r="C216" s="52"/>
      <c r="D216" s="52"/>
      <c r="E216" s="58"/>
      <c r="F216" s="58"/>
      <c r="G216" s="58"/>
      <c r="H216" s="58"/>
      <c r="I216" s="58"/>
      <c r="J216" s="58"/>
      <c r="K216" s="58"/>
      <c r="L216" s="58"/>
      <c r="M216" s="58"/>
      <c r="N216" s="58"/>
    </row>
    <row r="217" spans="1:14" ht="15" customHeight="1">
      <c r="A217" s="52"/>
      <c r="B217" s="52"/>
      <c r="C217" s="52"/>
      <c r="D217" s="52"/>
      <c r="E217" s="58"/>
      <c r="F217" s="58"/>
      <c r="G217" s="58"/>
      <c r="H217" s="58"/>
      <c r="I217" s="58"/>
      <c r="J217" s="58"/>
      <c r="K217" s="58"/>
      <c r="L217" s="58"/>
      <c r="M217" s="58"/>
      <c r="N217" s="58"/>
    </row>
    <row r="218" spans="1:14" ht="15" customHeight="1">
      <c r="A218" s="52"/>
      <c r="B218" s="52"/>
      <c r="C218" s="52"/>
      <c r="D218" s="52"/>
      <c r="E218" s="58"/>
      <c r="F218" s="58"/>
      <c r="G218" s="58"/>
      <c r="H218" s="58"/>
      <c r="I218" s="58"/>
      <c r="J218" s="58"/>
      <c r="K218" s="58"/>
      <c r="L218" s="58"/>
      <c r="M218" s="58"/>
      <c r="N218" s="58"/>
    </row>
    <row r="219" spans="1:14" ht="15" customHeight="1">
      <c r="A219" s="52"/>
      <c r="B219" s="52"/>
      <c r="C219" s="52"/>
      <c r="D219" s="52"/>
      <c r="E219" s="58"/>
      <c r="F219" s="58"/>
      <c r="G219" s="58"/>
      <c r="H219" s="58"/>
      <c r="I219" s="58"/>
      <c r="J219" s="58"/>
      <c r="K219" s="58"/>
      <c r="L219" s="58"/>
      <c r="M219" s="58"/>
      <c r="N219" s="58"/>
    </row>
    <row r="220" spans="1:14" ht="15" customHeight="1">
      <c r="A220" s="52"/>
      <c r="B220" s="52"/>
      <c r="C220" s="52"/>
      <c r="D220" s="52"/>
      <c r="E220" s="58"/>
      <c r="F220" s="58"/>
      <c r="G220" s="58"/>
      <c r="H220" s="58"/>
      <c r="I220" s="58"/>
      <c r="J220" s="58"/>
      <c r="K220" s="58"/>
      <c r="L220" s="58"/>
      <c r="M220" s="58"/>
      <c r="N220" s="58"/>
    </row>
    <row r="221" spans="1:14" ht="15" customHeight="1">
      <c r="A221" s="52"/>
      <c r="B221" s="52"/>
      <c r="C221" s="52"/>
      <c r="D221" s="52"/>
      <c r="E221" s="58"/>
      <c r="F221" s="58"/>
      <c r="G221" s="58"/>
      <c r="H221" s="58"/>
      <c r="I221" s="58"/>
      <c r="J221" s="58"/>
      <c r="K221" s="58"/>
      <c r="L221" s="58"/>
      <c r="M221" s="58"/>
      <c r="N221" s="58"/>
    </row>
    <row r="222" spans="1:14" ht="15" customHeight="1">
      <c r="A222" s="52"/>
      <c r="B222" s="52"/>
      <c r="C222" s="52"/>
      <c r="D222" s="52"/>
      <c r="E222" s="58"/>
      <c r="F222" s="58"/>
      <c r="G222" s="58"/>
      <c r="H222" s="58"/>
      <c r="I222" s="58"/>
      <c r="J222" s="58"/>
      <c r="K222" s="58"/>
      <c r="L222" s="58"/>
      <c r="M222" s="58"/>
      <c r="N222" s="58"/>
    </row>
    <row r="223" spans="1:14" ht="15" customHeight="1">
      <c r="E223" s="58"/>
      <c r="F223" s="58"/>
      <c r="G223" s="58"/>
      <c r="H223" s="58"/>
      <c r="I223" s="58"/>
      <c r="J223" s="58"/>
      <c r="K223" s="58"/>
      <c r="L223" s="58"/>
      <c r="M223" s="58"/>
      <c r="N223" s="58"/>
    </row>
    <row r="224" spans="1:14" ht="15" customHeight="1">
      <c r="A224" s="52"/>
      <c r="B224" s="52"/>
      <c r="C224" s="52"/>
      <c r="D224" s="52"/>
      <c r="E224" s="58"/>
      <c r="F224" s="58"/>
      <c r="G224" s="58"/>
      <c r="H224" s="58"/>
      <c r="I224" s="58"/>
      <c r="J224" s="58"/>
      <c r="K224" s="58"/>
      <c r="L224" s="58"/>
      <c r="M224" s="58"/>
      <c r="N224" s="58"/>
    </row>
    <row r="225" spans="1:14" ht="15" customHeight="1">
      <c r="A225" s="52"/>
      <c r="B225" s="52"/>
      <c r="C225" s="52"/>
      <c r="D225" s="52"/>
      <c r="E225" s="58"/>
      <c r="F225" s="58"/>
      <c r="G225" s="58"/>
      <c r="H225" s="58"/>
      <c r="I225" s="58"/>
      <c r="J225" s="58"/>
      <c r="K225" s="58"/>
      <c r="L225" s="58"/>
      <c r="M225" s="58"/>
      <c r="N225" s="58"/>
    </row>
    <row r="226" spans="1:14" ht="15" customHeight="1">
      <c r="A226" s="52"/>
      <c r="B226" s="52"/>
      <c r="C226" s="52"/>
      <c r="D226" s="52"/>
      <c r="E226" s="58"/>
      <c r="F226" s="58"/>
      <c r="G226" s="58"/>
      <c r="H226" s="58"/>
      <c r="I226" s="58"/>
      <c r="J226" s="58"/>
      <c r="K226" s="58"/>
      <c r="L226" s="58"/>
      <c r="M226" s="58"/>
      <c r="N226" s="58"/>
    </row>
    <row r="227" spans="1:14" ht="15" customHeight="1">
      <c r="A227" s="52"/>
      <c r="B227" s="52"/>
      <c r="C227" s="52"/>
      <c r="D227" s="52"/>
      <c r="E227" s="58"/>
      <c r="F227" s="58"/>
      <c r="G227" s="58"/>
      <c r="H227" s="58"/>
      <c r="I227" s="58"/>
      <c r="J227" s="58"/>
      <c r="K227" s="58"/>
      <c r="L227" s="58"/>
      <c r="M227" s="58"/>
      <c r="N227" s="58"/>
    </row>
    <row r="228" spans="1:14" ht="15" customHeight="1">
      <c r="A228" s="52"/>
      <c r="B228" s="52"/>
      <c r="C228" s="52"/>
      <c r="D228" s="52"/>
      <c r="E228" s="58"/>
      <c r="F228" s="58"/>
      <c r="G228" s="58"/>
      <c r="H228" s="58"/>
      <c r="I228" s="58"/>
      <c r="J228" s="58"/>
      <c r="K228" s="58"/>
      <c r="L228" s="58"/>
      <c r="M228" s="58"/>
      <c r="N228" s="58"/>
    </row>
    <row r="229" spans="1:14" ht="15" customHeight="1">
      <c r="A229" s="52"/>
      <c r="B229" s="52"/>
      <c r="C229" s="52"/>
      <c r="D229" s="52"/>
      <c r="E229" s="58"/>
      <c r="F229" s="58"/>
      <c r="G229" s="58"/>
      <c r="H229" s="58"/>
      <c r="I229" s="58"/>
      <c r="J229" s="58"/>
      <c r="K229" s="58"/>
      <c r="L229" s="58"/>
      <c r="M229" s="58"/>
      <c r="N229" s="58"/>
    </row>
    <row r="230" spans="1:14" ht="15" customHeight="1">
      <c r="A230" s="52"/>
      <c r="B230" s="52"/>
      <c r="C230" s="52"/>
      <c r="D230" s="52"/>
      <c r="E230" s="58"/>
      <c r="F230" s="58"/>
      <c r="G230" s="58"/>
      <c r="H230" s="58"/>
      <c r="I230" s="58"/>
      <c r="J230" s="58"/>
      <c r="K230" s="58"/>
      <c r="L230" s="58"/>
      <c r="M230" s="58"/>
      <c r="N230" s="58"/>
    </row>
    <row r="231" spans="1:14" ht="15" customHeight="1">
      <c r="A231" s="52"/>
      <c r="B231" s="52"/>
      <c r="C231" s="52"/>
      <c r="D231" s="52"/>
      <c r="E231" s="58"/>
      <c r="F231" s="58"/>
      <c r="G231" s="58"/>
      <c r="H231" s="58"/>
      <c r="I231" s="58"/>
      <c r="J231" s="58"/>
      <c r="K231" s="58"/>
      <c r="L231" s="58"/>
      <c r="M231" s="58"/>
      <c r="N231" s="58"/>
    </row>
    <row r="232" spans="1:14" ht="15" customHeight="1">
      <c r="A232" s="52"/>
      <c r="B232" s="52"/>
      <c r="C232" s="52"/>
      <c r="D232" s="52"/>
      <c r="E232" s="58"/>
      <c r="F232" s="58"/>
      <c r="G232" s="58"/>
      <c r="H232" s="58"/>
      <c r="I232" s="58"/>
      <c r="J232" s="58"/>
      <c r="K232" s="58"/>
      <c r="L232" s="58"/>
      <c r="M232" s="58"/>
      <c r="N232" s="58"/>
    </row>
    <row r="233" spans="1:14" ht="15" customHeight="1">
      <c r="E233" s="58"/>
      <c r="F233" s="58"/>
      <c r="G233" s="58"/>
      <c r="H233" s="58"/>
      <c r="I233" s="58"/>
      <c r="J233" s="58"/>
      <c r="K233" s="58"/>
      <c r="L233" s="58"/>
      <c r="M233" s="58"/>
      <c r="N233" s="58"/>
    </row>
    <row r="234" spans="1:14" ht="15" customHeight="1">
      <c r="A234" s="52"/>
      <c r="B234" s="52"/>
      <c r="C234" s="52"/>
      <c r="D234" s="52"/>
      <c r="E234" s="58"/>
      <c r="F234" s="58"/>
      <c r="G234" s="58"/>
      <c r="H234" s="58"/>
      <c r="I234" s="58"/>
      <c r="J234" s="58"/>
      <c r="K234" s="58"/>
      <c r="L234" s="58"/>
      <c r="M234" s="58"/>
      <c r="N234" s="58"/>
    </row>
    <row r="235" spans="1:14" ht="15" customHeight="1">
      <c r="A235" s="52"/>
      <c r="B235" s="52"/>
      <c r="C235" s="52"/>
      <c r="D235" s="52"/>
      <c r="E235" s="58"/>
      <c r="F235" s="58"/>
      <c r="G235" s="58"/>
      <c r="H235" s="58"/>
      <c r="I235" s="58"/>
      <c r="J235" s="58"/>
      <c r="K235" s="58"/>
      <c r="L235" s="58"/>
      <c r="M235" s="58"/>
      <c r="N235" s="58"/>
    </row>
    <row r="236" spans="1:14" ht="15" customHeight="1">
      <c r="A236" s="52"/>
      <c r="B236" s="52"/>
      <c r="C236" s="52"/>
      <c r="D236" s="52"/>
      <c r="E236" s="58"/>
      <c r="F236" s="58"/>
      <c r="G236" s="58"/>
      <c r="H236" s="58"/>
      <c r="I236" s="58"/>
      <c r="J236" s="58"/>
      <c r="K236" s="58"/>
      <c r="L236" s="58"/>
      <c r="M236" s="58"/>
      <c r="N236" s="58"/>
    </row>
    <row r="237" spans="1:14" ht="15" customHeight="1">
      <c r="A237" s="52"/>
      <c r="B237" s="52"/>
      <c r="C237" s="52"/>
      <c r="D237" s="52"/>
      <c r="E237" s="58"/>
      <c r="F237" s="58"/>
      <c r="G237" s="58"/>
      <c r="H237" s="58"/>
      <c r="I237" s="58"/>
      <c r="J237" s="58"/>
      <c r="K237" s="58"/>
      <c r="L237" s="58"/>
      <c r="M237" s="58"/>
      <c r="N237" s="58"/>
    </row>
    <row r="238" spans="1:14" ht="15" customHeight="1">
      <c r="A238" s="52"/>
      <c r="B238" s="52"/>
      <c r="C238" s="52"/>
      <c r="D238" s="52"/>
      <c r="E238" s="58"/>
      <c r="F238" s="58"/>
      <c r="G238" s="58"/>
      <c r="H238" s="58"/>
      <c r="I238" s="58"/>
      <c r="J238" s="58"/>
      <c r="K238" s="58"/>
      <c r="L238" s="58"/>
      <c r="M238" s="58"/>
      <c r="N238" s="58"/>
    </row>
    <row r="239" spans="1:14" ht="15" customHeight="1">
      <c r="A239" s="52"/>
      <c r="B239" s="52"/>
      <c r="C239" s="52"/>
      <c r="D239" s="52"/>
      <c r="E239" s="58"/>
      <c r="F239" s="58"/>
      <c r="G239" s="58"/>
      <c r="H239" s="58"/>
      <c r="I239" s="58"/>
      <c r="J239" s="58"/>
      <c r="K239" s="58"/>
      <c r="L239" s="58"/>
      <c r="M239" s="58"/>
      <c r="N239" s="58"/>
    </row>
    <row r="240" spans="1:14" ht="15" customHeight="1">
      <c r="A240" s="52"/>
      <c r="B240" s="52"/>
      <c r="C240" s="52"/>
      <c r="D240" s="52"/>
      <c r="E240" s="58"/>
      <c r="F240" s="58"/>
      <c r="G240" s="58"/>
      <c r="H240" s="58"/>
      <c r="I240" s="58"/>
      <c r="J240" s="58"/>
      <c r="K240" s="58"/>
      <c r="L240" s="58"/>
      <c r="M240" s="58"/>
      <c r="N240" s="58"/>
    </row>
    <row r="241" spans="1:14" ht="15" customHeight="1">
      <c r="A241" s="52"/>
      <c r="B241" s="52"/>
      <c r="C241" s="52"/>
      <c r="D241" s="52"/>
      <c r="E241" s="58"/>
      <c r="F241" s="58"/>
      <c r="G241" s="58"/>
      <c r="H241" s="58"/>
      <c r="I241" s="58"/>
      <c r="J241" s="58"/>
      <c r="K241" s="58"/>
      <c r="L241" s="58"/>
      <c r="M241" s="58"/>
      <c r="N241" s="58"/>
    </row>
    <row r="242" spans="1:14" ht="15" customHeight="1">
      <c r="A242" s="52"/>
      <c r="B242" s="52"/>
      <c r="C242" s="52"/>
      <c r="D242" s="52"/>
      <c r="E242" s="58"/>
      <c r="F242" s="58"/>
      <c r="G242" s="58"/>
      <c r="H242" s="58"/>
      <c r="I242" s="58"/>
      <c r="J242" s="58"/>
      <c r="K242" s="58"/>
      <c r="L242" s="58"/>
      <c r="M242" s="58"/>
      <c r="N242" s="58"/>
    </row>
    <row r="243" spans="1:14" ht="15" customHeight="1" collapsed="1">
      <c r="A243" s="52"/>
      <c r="B243" s="52"/>
      <c r="C243" s="52"/>
      <c r="D243" s="52"/>
      <c r="E243" s="58"/>
      <c r="F243" s="58"/>
      <c r="G243" s="58"/>
      <c r="H243" s="58"/>
      <c r="I243" s="58"/>
      <c r="J243" s="58"/>
      <c r="K243" s="58"/>
      <c r="L243" s="58"/>
      <c r="M243" s="58"/>
      <c r="N243" s="58"/>
    </row>
    <row r="244" spans="1:14" ht="15" customHeight="1">
      <c r="A244" s="52"/>
      <c r="B244" s="52"/>
      <c r="C244" s="52"/>
      <c r="D244" s="52"/>
      <c r="E244" s="58"/>
      <c r="F244" s="58"/>
      <c r="G244" s="58"/>
      <c r="H244" s="58"/>
      <c r="I244" s="58"/>
      <c r="J244" s="58"/>
      <c r="K244" s="58"/>
      <c r="L244" s="58"/>
      <c r="M244" s="58"/>
      <c r="N244" s="58"/>
    </row>
    <row r="245" spans="1:14" ht="15" customHeight="1">
      <c r="A245" s="52"/>
      <c r="B245" s="52"/>
      <c r="C245" s="52"/>
      <c r="D245" s="52"/>
      <c r="E245" s="58"/>
      <c r="F245" s="58"/>
      <c r="G245" s="58"/>
      <c r="H245" s="58"/>
      <c r="I245" s="58"/>
      <c r="J245" s="58"/>
      <c r="K245" s="58"/>
      <c r="L245" s="58"/>
      <c r="M245" s="58"/>
      <c r="N245" s="58"/>
    </row>
    <row r="246" spans="1:14" ht="15" customHeight="1">
      <c r="A246" s="52"/>
      <c r="B246" s="52"/>
      <c r="C246" s="52"/>
      <c r="D246" s="52"/>
      <c r="E246" s="58"/>
      <c r="F246" s="58"/>
      <c r="G246" s="58"/>
      <c r="H246" s="58"/>
      <c r="I246" s="58"/>
      <c r="J246" s="58"/>
      <c r="K246" s="58"/>
      <c r="L246" s="58"/>
      <c r="M246" s="58"/>
      <c r="N246" s="58"/>
    </row>
    <row r="247" spans="1:14" ht="15" customHeight="1" collapsed="1">
      <c r="A247" s="52"/>
      <c r="B247" s="52"/>
      <c r="C247" s="52"/>
      <c r="D247" s="52"/>
      <c r="E247" s="58"/>
      <c r="F247" s="58"/>
      <c r="G247" s="58"/>
      <c r="H247" s="58"/>
      <c r="I247" s="58"/>
      <c r="J247" s="58"/>
      <c r="K247" s="58"/>
      <c r="L247" s="58"/>
      <c r="M247" s="58"/>
      <c r="N247" s="58"/>
    </row>
    <row r="248" spans="1:14" ht="15" customHeight="1">
      <c r="A248" s="52"/>
      <c r="B248" s="52"/>
      <c r="C248" s="52"/>
      <c r="D248" s="52"/>
      <c r="E248" s="58"/>
      <c r="F248" s="58"/>
      <c r="G248" s="58"/>
      <c r="H248" s="58"/>
      <c r="I248" s="58"/>
      <c r="J248" s="58"/>
      <c r="K248" s="58"/>
      <c r="L248" s="58"/>
      <c r="M248" s="58"/>
      <c r="N248" s="58"/>
    </row>
    <row r="249" spans="1:14" ht="15" customHeight="1">
      <c r="A249" s="52"/>
      <c r="B249" s="52"/>
      <c r="C249" s="52"/>
      <c r="D249" s="52"/>
      <c r="E249" s="58"/>
      <c r="F249" s="58"/>
      <c r="G249" s="58"/>
      <c r="H249" s="58"/>
      <c r="I249" s="58"/>
      <c r="J249" s="58"/>
      <c r="K249" s="58"/>
      <c r="L249" s="58"/>
      <c r="M249" s="58"/>
      <c r="N249" s="58"/>
    </row>
    <row r="250" spans="1:14" ht="15" customHeight="1">
      <c r="A250" s="52"/>
      <c r="B250" s="52"/>
      <c r="C250" s="52"/>
      <c r="D250" s="52"/>
      <c r="E250" s="58"/>
      <c r="F250" s="58"/>
      <c r="G250" s="58"/>
      <c r="H250" s="58"/>
      <c r="I250" s="58"/>
      <c r="J250" s="58"/>
      <c r="K250" s="58"/>
      <c r="L250" s="58"/>
      <c r="M250" s="58"/>
      <c r="N250" s="58"/>
    </row>
    <row r="251" spans="1:14" ht="15" customHeight="1" collapsed="1">
      <c r="A251" s="52"/>
      <c r="B251" s="52"/>
      <c r="C251" s="52"/>
      <c r="D251" s="52"/>
      <c r="E251" s="58"/>
      <c r="F251" s="58"/>
      <c r="G251" s="58"/>
      <c r="H251" s="58"/>
      <c r="I251" s="58"/>
      <c r="J251" s="58"/>
      <c r="K251" s="58"/>
      <c r="L251" s="58"/>
      <c r="M251" s="58"/>
      <c r="N251" s="58"/>
    </row>
    <row r="252" spans="1:14" ht="15" customHeight="1">
      <c r="A252" s="52"/>
      <c r="B252" s="52"/>
      <c r="C252" s="52"/>
      <c r="D252" s="52"/>
      <c r="E252" s="58"/>
      <c r="F252" s="58"/>
      <c r="G252" s="58"/>
      <c r="H252" s="58"/>
      <c r="I252" s="58"/>
      <c r="J252" s="58"/>
      <c r="K252" s="58"/>
      <c r="L252" s="58"/>
      <c r="M252" s="58"/>
      <c r="N252" s="58"/>
    </row>
    <row r="253" spans="1:14" ht="15" customHeight="1">
      <c r="A253" s="52"/>
      <c r="B253" s="52"/>
      <c r="C253" s="52"/>
      <c r="D253" s="52"/>
      <c r="E253" s="58"/>
      <c r="F253" s="58"/>
      <c r="G253" s="58"/>
      <c r="H253" s="58"/>
      <c r="I253" s="58"/>
      <c r="J253" s="58"/>
      <c r="K253" s="58"/>
      <c r="L253" s="58"/>
      <c r="M253" s="58"/>
      <c r="N253" s="58"/>
    </row>
    <row r="254" spans="1:14" ht="15" customHeight="1">
      <c r="A254" s="52"/>
      <c r="B254" s="52"/>
      <c r="C254" s="52"/>
      <c r="D254" s="52"/>
      <c r="E254" s="58"/>
      <c r="F254" s="58"/>
      <c r="G254" s="58"/>
      <c r="H254" s="58"/>
      <c r="I254" s="58"/>
      <c r="J254" s="58"/>
      <c r="K254" s="58"/>
      <c r="L254" s="58"/>
      <c r="M254" s="58"/>
      <c r="N254" s="58"/>
    </row>
    <row r="255" spans="1:14" ht="15" customHeight="1" collapsed="1">
      <c r="A255" s="52"/>
      <c r="B255" s="52"/>
      <c r="C255" s="52"/>
      <c r="D255" s="52"/>
      <c r="E255" s="58"/>
      <c r="F255" s="58"/>
      <c r="G255" s="58"/>
      <c r="H255" s="58"/>
      <c r="I255" s="58"/>
      <c r="J255" s="58"/>
      <c r="K255" s="58"/>
      <c r="L255" s="58"/>
      <c r="M255" s="58"/>
      <c r="N255" s="58"/>
    </row>
    <row r="256" spans="1:14" ht="15" customHeight="1">
      <c r="A256" s="52"/>
      <c r="B256" s="52"/>
      <c r="C256" s="52"/>
      <c r="D256" s="52"/>
      <c r="E256" s="58"/>
      <c r="F256" s="58"/>
      <c r="G256" s="58"/>
      <c r="H256" s="58"/>
      <c r="I256" s="58"/>
      <c r="J256" s="58"/>
      <c r="K256" s="58"/>
      <c r="L256" s="58"/>
      <c r="M256" s="58"/>
      <c r="N256" s="58"/>
    </row>
    <row r="257" spans="1:14" ht="15" customHeight="1">
      <c r="A257" s="52"/>
      <c r="B257" s="52"/>
      <c r="C257" s="52"/>
      <c r="D257" s="52"/>
      <c r="E257" s="58"/>
      <c r="F257" s="58"/>
      <c r="G257" s="58"/>
      <c r="H257" s="58"/>
      <c r="I257" s="58"/>
      <c r="J257" s="58"/>
      <c r="K257" s="58"/>
      <c r="L257" s="58"/>
      <c r="M257" s="58"/>
      <c r="N257" s="58"/>
    </row>
    <row r="258" spans="1:14" ht="15" customHeight="1">
      <c r="A258" s="52"/>
      <c r="B258" s="52"/>
      <c r="C258" s="52"/>
      <c r="D258" s="52"/>
      <c r="E258" s="58"/>
      <c r="F258" s="58"/>
      <c r="G258" s="58"/>
      <c r="H258" s="58"/>
      <c r="I258" s="58"/>
      <c r="J258" s="58"/>
      <c r="K258" s="58"/>
      <c r="L258" s="58"/>
      <c r="M258" s="58"/>
      <c r="N258" s="58"/>
    </row>
    <row r="259" spans="1:14" ht="15" customHeight="1">
      <c r="A259" s="52"/>
      <c r="B259" s="52"/>
      <c r="C259" s="52"/>
      <c r="D259" s="52"/>
      <c r="E259" s="58"/>
      <c r="F259" s="58"/>
      <c r="G259" s="58"/>
      <c r="H259" s="58"/>
      <c r="I259" s="58"/>
      <c r="J259" s="58"/>
      <c r="K259" s="58"/>
      <c r="L259" s="58"/>
      <c r="M259" s="58"/>
      <c r="N259" s="58"/>
    </row>
    <row r="260" spans="1:14" ht="15" customHeight="1">
      <c r="A260" s="52"/>
      <c r="B260" s="52"/>
      <c r="C260" s="52"/>
      <c r="D260" s="52"/>
      <c r="E260" s="58"/>
      <c r="F260" s="58"/>
      <c r="G260" s="58"/>
      <c r="H260" s="58"/>
      <c r="I260" s="58"/>
      <c r="J260" s="58"/>
      <c r="K260" s="58"/>
      <c r="L260" s="58"/>
      <c r="M260" s="58"/>
      <c r="N260" s="58"/>
    </row>
    <row r="261" spans="1:14" ht="15" customHeight="1">
      <c r="A261" s="52"/>
      <c r="B261" s="52"/>
      <c r="C261" s="52"/>
      <c r="D261" s="52"/>
      <c r="E261" s="58"/>
      <c r="F261" s="58"/>
      <c r="G261" s="58"/>
      <c r="H261" s="58"/>
      <c r="I261" s="58"/>
      <c r="J261" s="58"/>
      <c r="K261" s="58"/>
      <c r="L261" s="58"/>
      <c r="M261" s="58"/>
      <c r="N261" s="58"/>
    </row>
    <row r="262" spans="1:14" ht="15" customHeight="1">
      <c r="A262" s="52"/>
      <c r="B262" s="52"/>
      <c r="C262" s="52"/>
      <c r="D262" s="52"/>
      <c r="E262" s="58"/>
      <c r="F262" s="58"/>
      <c r="G262" s="58"/>
      <c r="H262" s="58"/>
      <c r="I262" s="58"/>
      <c r="J262" s="58"/>
      <c r="K262" s="58"/>
      <c r="L262" s="58"/>
      <c r="M262" s="58"/>
      <c r="N262" s="58"/>
    </row>
    <row r="263" spans="1:14" ht="15" customHeight="1">
      <c r="A263" s="52"/>
      <c r="B263" s="52"/>
      <c r="C263" s="52"/>
      <c r="D263" s="52"/>
      <c r="E263" s="58"/>
      <c r="F263" s="58"/>
      <c r="G263" s="58"/>
      <c r="H263" s="58"/>
      <c r="I263" s="58"/>
      <c r="J263" s="58"/>
      <c r="K263" s="58"/>
      <c r="L263" s="58"/>
      <c r="M263" s="58"/>
      <c r="N263" s="58"/>
    </row>
    <row r="264" spans="1:14" ht="15" customHeight="1">
      <c r="A264" s="52"/>
      <c r="B264" s="52"/>
      <c r="C264" s="52"/>
      <c r="D264" s="52"/>
      <c r="E264" s="58"/>
      <c r="F264" s="58"/>
      <c r="G264" s="58"/>
      <c r="H264" s="58"/>
      <c r="I264" s="58"/>
      <c r="J264" s="58"/>
      <c r="K264" s="58"/>
      <c r="L264" s="58"/>
      <c r="M264" s="58"/>
      <c r="N264" s="58"/>
    </row>
    <row r="265" spans="1:14" ht="15" customHeight="1">
      <c r="A265" s="52"/>
      <c r="B265" s="52"/>
      <c r="C265" s="52"/>
      <c r="D265" s="52"/>
      <c r="E265" s="58"/>
      <c r="F265" s="58"/>
      <c r="G265" s="58"/>
      <c r="H265" s="58"/>
      <c r="I265" s="58"/>
      <c r="J265" s="58"/>
      <c r="K265" s="58"/>
      <c r="L265" s="58"/>
      <c r="M265" s="58"/>
      <c r="N265" s="58"/>
    </row>
    <row r="266" spans="1:14" ht="15" customHeight="1">
      <c r="A266" s="52"/>
      <c r="B266" s="52"/>
      <c r="C266" s="52"/>
      <c r="D266" s="52"/>
      <c r="E266" s="58"/>
      <c r="F266" s="58"/>
      <c r="G266" s="58"/>
      <c r="H266" s="58"/>
      <c r="I266" s="58"/>
      <c r="J266" s="58"/>
      <c r="K266" s="58"/>
      <c r="L266" s="58"/>
      <c r="M266" s="58"/>
      <c r="N266" s="58"/>
    </row>
    <row r="267" spans="1:14" ht="15" customHeight="1">
      <c r="A267" s="52"/>
      <c r="B267" s="52"/>
      <c r="C267" s="52"/>
      <c r="D267" s="52"/>
      <c r="E267" s="58"/>
      <c r="F267" s="58"/>
      <c r="G267" s="58"/>
      <c r="H267" s="58"/>
      <c r="I267" s="58"/>
      <c r="J267" s="58"/>
      <c r="K267" s="58"/>
      <c r="L267" s="58"/>
      <c r="M267" s="58"/>
      <c r="N267" s="58"/>
    </row>
    <row r="268" spans="1:14" ht="15" customHeight="1">
      <c r="A268" s="52"/>
      <c r="B268" s="52"/>
      <c r="C268" s="52"/>
      <c r="D268" s="52"/>
      <c r="E268" s="58"/>
      <c r="F268" s="58"/>
      <c r="G268" s="58"/>
      <c r="H268" s="58"/>
      <c r="I268" s="58"/>
      <c r="J268" s="58"/>
      <c r="K268" s="58"/>
      <c r="L268" s="58"/>
      <c r="M268" s="58"/>
      <c r="N268" s="58"/>
    </row>
    <row r="269" spans="1:14" ht="15" customHeight="1">
      <c r="A269" s="52"/>
      <c r="B269" s="52"/>
      <c r="C269" s="52"/>
      <c r="D269" s="52"/>
      <c r="E269" s="58"/>
      <c r="F269" s="58"/>
      <c r="G269" s="58"/>
      <c r="H269" s="58"/>
      <c r="I269" s="58"/>
      <c r="J269" s="58"/>
      <c r="K269" s="58"/>
      <c r="L269" s="58"/>
      <c r="M269" s="58"/>
      <c r="N269" s="58"/>
    </row>
    <row r="270" spans="1:14">
      <c r="E270" s="58"/>
      <c r="F270" s="58"/>
      <c r="G270" s="58"/>
      <c r="H270" s="58"/>
      <c r="I270" s="58"/>
      <c r="J270" s="58"/>
      <c r="K270" s="58"/>
      <c r="L270" s="58"/>
      <c r="M270" s="58"/>
      <c r="N270" s="58"/>
    </row>
    <row r="271" spans="1:14">
      <c r="E271" s="58"/>
      <c r="F271" s="58"/>
      <c r="G271" s="58"/>
      <c r="H271" s="58"/>
      <c r="I271" s="58"/>
      <c r="J271" s="58"/>
      <c r="K271" s="58"/>
      <c r="L271" s="58"/>
      <c r="M271" s="58"/>
      <c r="N271" s="58"/>
    </row>
    <row r="272" spans="1:14">
      <c r="E272" s="58"/>
      <c r="F272" s="58"/>
      <c r="G272" s="58"/>
      <c r="H272" s="58"/>
      <c r="I272" s="58"/>
      <c r="J272" s="58"/>
      <c r="K272" s="58"/>
      <c r="L272" s="58"/>
      <c r="M272" s="58"/>
      <c r="N272" s="58"/>
    </row>
    <row r="273" spans="5:14">
      <c r="E273" s="58"/>
      <c r="F273" s="58"/>
      <c r="G273" s="58"/>
      <c r="H273" s="58"/>
      <c r="I273" s="58"/>
      <c r="J273" s="58"/>
      <c r="K273" s="58"/>
      <c r="L273" s="58"/>
      <c r="M273" s="58"/>
      <c r="N273" s="58"/>
    </row>
    <row r="274" spans="5:14">
      <c r="E274" s="58"/>
      <c r="F274" s="58"/>
      <c r="G274" s="58"/>
      <c r="H274" s="58"/>
      <c r="I274" s="58"/>
      <c r="J274" s="58"/>
      <c r="K274" s="58"/>
      <c r="L274" s="58"/>
      <c r="M274" s="58"/>
      <c r="N274" s="58"/>
    </row>
    <row r="275" spans="5:14">
      <c r="E275" s="58"/>
      <c r="F275" s="58"/>
      <c r="G275" s="58"/>
      <c r="H275" s="58"/>
      <c r="I275" s="58"/>
      <c r="J275" s="58"/>
      <c r="K275" s="58"/>
      <c r="L275" s="58"/>
      <c r="M275" s="58"/>
      <c r="N275" s="58"/>
    </row>
    <row r="276" spans="5:14">
      <c r="E276" s="58"/>
      <c r="F276" s="58"/>
      <c r="G276" s="58"/>
      <c r="H276" s="58"/>
      <c r="I276" s="58"/>
      <c r="J276" s="58"/>
      <c r="K276" s="58"/>
      <c r="L276" s="58"/>
      <c r="M276" s="58"/>
      <c r="N276" s="58"/>
    </row>
    <row r="277" spans="5:14">
      <c r="E277" s="58"/>
      <c r="F277" s="58"/>
      <c r="G277" s="58"/>
      <c r="H277" s="58"/>
      <c r="I277" s="58"/>
      <c r="J277" s="58"/>
      <c r="K277" s="58"/>
      <c r="L277" s="58"/>
      <c r="M277" s="58"/>
      <c r="N277" s="58"/>
    </row>
    <row r="278" spans="5:14">
      <c r="E278" s="58"/>
      <c r="F278" s="58"/>
      <c r="G278" s="58"/>
      <c r="H278" s="58"/>
      <c r="I278" s="58"/>
      <c r="J278" s="58"/>
      <c r="K278" s="58"/>
      <c r="L278" s="58"/>
      <c r="M278" s="58"/>
      <c r="N278" s="58"/>
    </row>
    <row r="279" spans="5:14">
      <c r="E279" s="58"/>
      <c r="F279" s="58"/>
      <c r="G279" s="58"/>
      <c r="H279" s="58"/>
      <c r="I279" s="58"/>
      <c r="J279" s="58"/>
      <c r="K279" s="58"/>
      <c r="L279" s="58"/>
      <c r="M279" s="58"/>
      <c r="N279" s="58"/>
    </row>
    <row r="280" spans="5:14">
      <c r="E280" s="58"/>
      <c r="F280" s="58"/>
      <c r="G280" s="58"/>
      <c r="H280" s="58"/>
      <c r="I280" s="58"/>
      <c r="J280" s="58"/>
      <c r="K280" s="58"/>
      <c r="L280" s="58"/>
      <c r="M280" s="58"/>
      <c r="N280" s="58"/>
    </row>
    <row r="281" spans="5:14">
      <c r="E281" s="58"/>
      <c r="F281" s="58"/>
      <c r="G281" s="58"/>
      <c r="H281" s="58"/>
      <c r="I281" s="58"/>
      <c r="J281" s="58"/>
      <c r="K281" s="58"/>
      <c r="L281" s="58"/>
      <c r="M281" s="58"/>
      <c r="N281" s="58"/>
    </row>
    <row r="282" spans="5:14">
      <c r="E282" s="58"/>
      <c r="F282" s="58"/>
      <c r="G282" s="58"/>
      <c r="H282" s="58"/>
      <c r="I282" s="58"/>
      <c r="J282" s="58"/>
      <c r="K282" s="58"/>
      <c r="L282" s="58"/>
      <c r="M282" s="58"/>
      <c r="N282" s="58"/>
    </row>
    <row r="283" spans="5:14">
      <c r="E283" s="58"/>
      <c r="F283" s="58"/>
      <c r="G283" s="58"/>
      <c r="H283" s="58"/>
      <c r="I283" s="58"/>
      <c r="J283" s="58"/>
      <c r="K283" s="58"/>
      <c r="L283" s="58"/>
      <c r="M283" s="58"/>
      <c r="N283" s="58"/>
    </row>
    <row r="284" spans="5:14">
      <c r="E284" s="58"/>
      <c r="F284" s="58"/>
      <c r="G284" s="58"/>
      <c r="H284" s="58"/>
      <c r="I284" s="58"/>
      <c r="J284" s="58"/>
      <c r="K284" s="58"/>
      <c r="L284" s="58"/>
      <c r="M284" s="58"/>
      <c r="N284" s="58"/>
    </row>
    <row r="285" spans="5:14">
      <c r="E285" s="58"/>
      <c r="F285" s="58"/>
      <c r="G285" s="58"/>
      <c r="H285" s="58"/>
      <c r="I285" s="58"/>
      <c r="J285" s="58"/>
      <c r="K285" s="58"/>
      <c r="L285" s="58"/>
      <c r="M285" s="58"/>
      <c r="N285" s="58"/>
    </row>
    <row r="286" spans="5:14">
      <c r="E286" s="58"/>
      <c r="F286" s="58"/>
      <c r="G286" s="58"/>
      <c r="H286" s="58"/>
      <c r="I286" s="58"/>
      <c r="J286" s="58"/>
      <c r="K286" s="58"/>
      <c r="L286" s="58"/>
      <c r="M286" s="58"/>
      <c r="N286" s="58"/>
    </row>
    <row r="287" spans="5:14">
      <c r="E287" s="58"/>
      <c r="F287" s="58"/>
      <c r="G287" s="58"/>
      <c r="H287" s="58"/>
      <c r="I287" s="58"/>
      <c r="J287" s="58"/>
      <c r="K287" s="58"/>
      <c r="L287" s="58"/>
      <c r="M287" s="58"/>
      <c r="N287" s="58"/>
    </row>
    <row r="288" spans="5:14">
      <c r="E288" s="58"/>
      <c r="F288" s="58"/>
      <c r="G288" s="58"/>
      <c r="H288" s="58"/>
      <c r="I288" s="58"/>
      <c r="J288" s="58"/>
      <c r="K288" s="58"/>
      <c r="L288" s="58"/>
      <c r="M288" s="58"/>
      <c r="N288" s="58"/>
    </row>
    <row r="289" spans="5:14">
      <c r="E289" s="58"/>
      <c r="F289" s="58"/>
      <c r="G289" s="58"/>
      <c r="H289" s="58"/>
      <c r="I289" s="58"/>
      <c r="J289" s="58"/>
      <c r="K289" s="58"/>
      <c r="L289" s="58"/>
      <c r="M289" s="58"/>
      <c r="N289" s="58"/>
    </row>
    <row r="290" spans="5:14">
      <c r="E290" s="58"/>
      <c r="F290" s="58"/>
      <c r="G290" s="58"/>
      <c r="H290" s="58"/>
      <c r="I290" s="58"/>
      <c r="J290" s="58"/>
      <c r="K290" s="58"/>
      <c r="L290" s="58"/>
      <c r="M290" s="58"/>
      <c r="N290" s="58"/>
    </row>
    <row r="291" spans="5:14">
      <c r="E291" s="58"/>
      <c r="F291" s="58"/>
      <c r="G291" s="58"/>
      <c r="H291" s="58"/>
      <c r="I291" s="58"/>
      <c r="J291" s="58"/>
      <c r="K291" s="58"/>
      <c r="L291" s="58"/>
      <c r="M291" s="58"/>
      <c r="N291" s="58"/>
    </row>
    <row r="292" spans="5:14">
      <c r="E292" s="58"/>
      <c r="F292" s="58"/>
      <c r="G292" s="58"/>
      <c r="H292" s="58"/>
      <c r="I292" s="58"/>
      <c r="J292" s="58"/>
      <c r="K292" s="58"/>
      <c r="L292" s="58"/>
      <c r="M292" s="58"/>
      <c r="N292" s="58"/>
    </row>
    <row r="293" spans="5:14">
      <c r="E293" s="58"/>
      <c r="F293" s="58"/>
      <c r="G293" s="58"/>
      <c r="H293" s="58"/>
      <c r="I293" s="58"/>
      <c r="J293" s="58"/>
      <c r="K293" s="58"/>
      <c r="L293" s="58"/>
      <c r="M293" s="58"/>
      <c r="N293" s="58"/>
    </row>
    <row r="294" spans="5:14">
      <c r="E294" s="58"/>
      <c r="F294" s="58"/>
      <c r="G294" s="58"/>
      <c r="H294" s="58"/>
      <c r="I294" s="58"/>
      <c r="J294" s="58"/>
      <c r="K294" s="58"/>
      <c r="L294" s="58"/>
      <c r="M294" s="58"/>
      <c r="N294" s="58"/>
    </row>
    <row r="295" spans="5:14">
      <c r="E295" s="58"/>
      <c r="F295" s="58"/>
      <c r="G295" s="58"/>
      <c r="H295" s="58"/>
      <c r="I295" s="58"/>
      <c r="J295" s="58"/>
      <c r="K295" s="58"/>
      <c r="L295" s="58"/>
      <c r="M295" s="58"/>
      <c r="N295" s="58"/>
    </row>
    <row r="296" spans="5:14">
      <c r="E296" s="58"/>
      <c r="F296" s="58"/>
      <c r="G296" s="58"/>
      <c r="H296" s="58"/>
      <c r="I296" s="58"/>
      <c r="J296" s="58"/>
      <c r="K296" s="58"/>
      <c r="L296" s="58"/>
      <c r="M296" s="58"/>
      <c r="N296" s="58"/>
    </row>
    <row r="297" spans="5:14">
      <c r="E297" s="58"/>
      <c r="F297" s="58"/>
      <c r="G297" s="58"/>
      <c r="H297" s="58"/>
      <c r="I297" s="58"/>
      <c r="J297" s="58"/>
      <c r="K297" s="58"/>
      <c r="L297" s="58"/>
      <c r="M297" s="58"/>
      <c r="N297" s="58"/>
    </row>
    <row r="298" spans="5:14">
      <c r="E298" s="58"/>
      <c r="F298" s="58"/>
      <c r="G298" s="58"/>
      <c r="H298" s="58"/>
      <c r="I298" s="58"/>
      <c r="J298" s="58"/>
      <c r="K298" s="58"/>
      <c r="L298" s="58"/>
      <c r="M298" s="58"/>
      <c r="N298" s="58"/>
    </row>
    <row r="299" spans="5:14">
      <c r="E299" s="58"/>
      <c r="F299" s="58"/>
      <c r="G299" s="58"/>
      <c r="H299" s="58"/>
      <c r="I299" s="58"/>
      <c r="J299" s="58"/>
      <c r="K299" s="58"/>
      <c r="L299" s="58"/>
      <c r="M299" s="58"/>
      <c r="N299" s="58"/>
    </row>
    <row r="300" spans="5:14">
      <c r="E300" s="58"/>
      <c r="F300" s="58"/>
      <c r="G300" s="58"/>
      <c r="H300" s="58"/>
      <c r="I300" s="58"/>
      <c r="J300" s="58"/>
      <c r="K300" s="58"/>
      <c r="L300" s="58"/>
      <c r="M300" s="58"/>
      <c r="N300" s="58"/>
    </row>
    <row r="301" spans="5:14">
      <c r="E301" s="58"/>
      <c r="F301" s="58"/>
      <c r="G301" s="58"/>
      <c r="H301" s="58"/>
      <c r="I301" s="58"/>
      <c r="J301" s="58"/>
      <c r="K301" s="58"/>
      <c r="L301" s="58"/>
      <c r="M301" s="58"/>
      <c r="N301" s="58"/>
    </row>
    <row r="302" spans="5:14">
      <c r="E302" s="58"/>
      <c r="F302" s="58"/>
      <c r="G302" s="58"/>
      <c r="H302" s="58"/>
      <c r="I302" s="58"/>
      <c r="J302" s="58"/>
      <c r="K302" s="58"/>
      <c r="L302" s="58"/>
      <c r="M302" s="58"/>
      <c r="N302" s="58"/>
    </row>
    <row r="303" spans="5:14">
      <c r="E303" s="58"/>
      <c r="F303" s="58"/>
      <c r="G303" s="58"/>
      <c r="H303" s="58"/>
      <c r="I303" s="58"/>
      <c r="J303" s="58"/>
      <c r="K303" s="58"/>
      <c r="L303" s="58"/>
      <c r="M303" s="58"/>
      <c r="N303" s="58"/>
    </row>
    <row r="304" spans="5:14">
      <c r="E304" s="58"/>
      <c r="F304" s="58"/>
      <c r="G304" s="58"/>
      <c r="H304" s="58"/>
      <c r="I304" s="58"/>
      <c r="J304" s="58"/>
      <c r="K304" s="58"/>
      <c r="L304" s="58"/>
      <c r="M304" s="58"/>
      <c r="N304" s="58"/>
    </row>
    <row r="305" spans="5:14">
      <c r="E305" s="58"/>
      <c r="F305" s="58"/>
      <c r="G305" s="58"/>
      <c r="H305" s="58"/>
      <c r="I305" s="58"/>
      <c r="J305" s="58"/>
      <c r="K305" s="58"/>
      <c r="L305" s="58"/>
      <c r="M305" s="58"/>
      <c r="N305" s="58"/>
    </row>
    <row r="306" spans="5:14">
      <c r="E306" s="58"/>
      <c r="F306" s="58"/>
      <c r="G306" s="58"/>
      <c r="H306" s="58"/>
      <c r="I306" s="58"/>
      <c r="J306" s="58"/>
      <c r="K306" s="58"/>
      <c r="L306" s="58"/>
      <c r="M306" s="58"/>
      <c r="N306" s="58"/>
    </row>
    <row r="307" spans="5:14">
      <c r="E307" s="58"/>
      <c r="F307" s="58"/>
      <c r="G307" s="58"/>
      <c r="H307" s="58"/>
      <c r="I307" s="58"/>
      <c r="J307" s="58"/>
      <c r="K307" s="58"/>
      <c r="L307" s="58"/>
      <c r="M307" s="58"/>
      <c r="N307" s="58"/>
    </row>
    <row r="308" spans="5:14">
      <c r="E308" s="58"/>
      <c r="F308" s="58"/>
      <c r="G308" s="58"/>
      <c r="H308" s="58"/>
      <c r="I308" s="58"/>
      <c r="J308" s="58"/>
      <c r="K308" s="58"/>
      <c r="L308" s="58"/>
      <c r="M308" s="58"/>
      <c r="N308" s="58"/>
    </row>
    <row r="309" spans="5:14">
      <c r="E309" s="58"/>
      <c r="F309" s="58"/>
      <c r="G309" s="58"/>
      <c r="H309" s="58"/>
      <c r="I309" s="58"/>
      <c r="J309" s="58"/>
      <c r="K309" s="58"/>
      <c r="L309" s="58"/>
      <c r="M309" s="58"/>
      <c r="N309" s="58"/>
    </row>
    <row r="310" spans="5:14">
      <c r="E310" s="58"/>
      <c r="F310" s="58"/>
      <c r="G310" s="58"/>
      <c r="H310" s="58"/>
      <c r="I310" s="58"/>
      <c r="J310" s="58"/>
      <c r="K310" s="58"/>
      <c r="L310" s="58"/>
      <c r="M310" s="58"/>
      <c r="N310" s="58"/>
    </row>
    <row r="311" spans="5:14">
      <c r="E311" s="58"/>
      <c r="F311" s="58"/>
      <c r="G311" s="58"/>
      <c r="H311" s="58"/>
      <c r="I311" s="58"/>
      <c r="J311" s="58"/>
      <c r="K311" s="58"/>
      <c r="L311" s="58"/>
      <c r="M311" s="58"/>
      <c r="N311" s="58"/>
    </row>
    <row r="312" spans="5:14">
      <c r="E312" s="58"/>
      <c r="F312" s="58"/>
      <c r="G312" s="58"/>
      <c r="H312" s="58"/>
      <c r="I312" s="58"/>
      <c r="J312" s="58"/>
      <c r="K312" s="58"/>
      <c r="L312" s="58"/>
      <c r="M312" s="58"/>
      <c r="N312" s="58"/>
    </row>
    <row r="313" spans="5:14">
      <c r="E313" s="58"/>
      <c r="F313" s="58"/>
      <c r="G313" s="58"/>
      <c r="H313" s="58"/>
      <c r="I313" s="58"/>
      <c r="J313" s="58"/>
      <c r="K313" s="58"/>
      <c r="L313" s="58"/>
      <c r="M313" s="58"/>
      <c r="N313" s="58"/>
    </row>
    <row r="314" spans="5:14">
      <c r="E314" s="58"/>
      <c r="F314" s="58"/>
      <c r="G314" s="58"/>
      <c r="H314" s="58"/>
      <c r="I314" s="58"/>
      <c r="J314" s="58"/>
      <c r="K314" s="58"/>
      <c r="L314" s="58"/>
      <c r="M314" s="58"/>
      <c r="N314" s="58"/>
    </row>
    <row r="315" spans="5:14">
      <c r="E315" s="58"/>
      <c r="F315" s="58"/>
      <c r="G315" s="58"/>
      <c r="H315" s="58"/>
      <c r="I315" s="58"/>
      <c r="J315" s="58"/>
      <c r="K315" s="58"/>
      <c r="L315" s="58"/>
      <c r="M315" s="58"/>
      <c r="N315" s="58"/>
    </row>
    <row r="316" spans="5:14">
      <c r="E316" s="58"/>
      <c r="F316" s="58"/>
      <c r="G316" s="58"/>
      <c r="H316" s="58"/>
      <c r="I316" s="58"/>
      <c r="J316" s="58"/>
      <c r="K316" s="58"/>
      <c r="L316" s="58"/>
      <c r="M316" s="58"/>
      <c r="N316" s="58"/>
    </row>
    <row r="317" spans="5:14">
      <c r="E317" s="58"/>
      <c r="F317" s="58"/>
      <c r="G317" s="58"/>
      <c r="H317" s="58"/>
      <c r="I317" s="58"/>
      <c r="J317" s="58"/>
      <c r="K317" s="58"/>
      <c r="L317" s="58"/>
      <c r="M317" s="58"/>
      <c r="N317" s="58"/>
    </row>
    <row r="318" spans="5:14">
      <c r="E318" s="58"/>
      <c r="F318" s="58"/>
      <c r="G318" s="58"/>
      <c r="H318" s="58"/>
      <c r="I318" s="58"/>
      <c r="J318" s="58"/>
      <c r="K318" s="58"/>
      <c r="L318" s="58"/>
      <c r="M318" s="58"/>
      <c r="N318" s="58"/>
    </row>
    <row r="319" spans="5:14">
      <c r="E319" s="58"/>
      <c r="F319" s="58"/>
      <c r="G319" s="58"/>
      <c r="H319" s="58"/>
      <c r="I319" s="58"/>
      <c r="J319" s="58"/>
      <c r="K319" s="58"/>
      <c r="L319" s="58"/>
      <c r="M319" s="58"/>
      <c r="N319" s="58"/>
    </row>
    <row r="320" spans="5:14">
      <c r="E320" s="58"/>
      <c r="F320" s="58"/>
      <c r="G320" s="58"/>
      <c r="H320" s="58"/>
      <c r="I320" s="58"/>
      <c r="J320" s="58"/>
      <c r="K320" s="58"/>
      <c r="L320" s="58"/>
      <c r="M320" s="58"/>
      <c r="N320" s="58"/>
    </row>
    <row r="321" spans="5:14">
      <c r="E321" s="58"/>
      <c r="F321" s="58"/>
      <c r="G321" s="58"/>
      <c r="H321" s="58"/>
      <c r="I321" s="58"/>
      <c r="J321" s="58"/>
      <c r="K321" s="58"/>
      <c r="L321" s="58"/>
      <c r="M321" s="58"/>
      <c r="N321" s="58"/>
    </row>
    <row r="322" spans="5:14">
      <c r="E322" s="58"/>
      <c r="F322" s="58"/>
      <c r="G322" s="58"/>
      <c r="H322" s="58"/>
      <c r="I322" s="58"/>
      <c r="J322" s="58"/>
      <c r="K322" s="58"/>
      <c r="L322" s="58"/>
      <c r="M322" s="58"/>
      <c r="N322" s="58"/>
    </row>
    <row r="323" spans="5:14">
      <c r="E323" s="58"/>
      <c r="F323" s="58"/>
      <c r="G323" s="58"/>
      <c r="H323" s="58"/>
      <c r="I323" s="58"/>
      <c r="J323" s="58"/>
      <c r="K323" s="58"/>
      <c r="L323" s="58"/>
      <c r="M323" s="58"/>
      <c r="N323" s="58"/>
    </row>
    <row r="324" spans="5:14">
      <c r="E324" s="58"/>
      <c r="F324" s="58"/>
      <c r="G324" s="58"/>
      <c r="H324" s="58"/>
      <c r="I324" s="58"/>
      <c r="J324" s="58"/>
      <c r="K324" s="58"/>
      <c r="L324" s="58"/>
      <c r="M324" s="58"/>
      <c r="N324" s="58"/>
    </row>
    <row r="325" spans="5:14">
      <c r="E325" s="58"/>
      <c r="F325" s="58"/>
      <c r="G325" s="58"/>
      <c r="H325" s="58"/>
      <c r="I325" s="58"/>
      <c r="J325" s="58"/>
      <c r="K325" s="58"/>
      <c r="L325" s="58"/>
      <c r="M325" s="58"/>
      <c r="N325" s="58"/>
    </row>
    <row r="326" spans="5:14">
      <c r="E326" s="58"/>
      <c r="F326" s="58"/>
      <c r="G326" s="58"/>
      <c r="H326" s="58"/>
      <c r="I326" s="58"/>
      <c r="J326" s="58"/>
      <c r="K326" s="58"/>
      <c r="L326" s="58"/>
      <c r="M326" s="58"/>
      <c r="N326" s="58"/>
    </row>
    <row r="327" spans="5:14">
      <c r="E327" s="58"/>
      <c r="F327" s="58"/>
      <c r="G327" s="58"/>
      <c r="H327" s="58"/>
      <c r="I327" s="58"/>
      <c r="J327" s="58"/>
      <c r="K327" s="58"/>
      <c r="L327" s="58"/>
      <c r="M327" s="58"/>
      <c r="N327" s="58"/>
    </row>
    <row r="328" spans="5:14">
      <c r="E328" s="58"/>
      <c r="F328" s="58"/>
      <c r="G328" s="58"/>
      <c r="H328" s="58"/>
      <c r="I328" s="58"/>
      <c r="J328" s="58"/>
      <c r="K328" s="58"/>
      <c r="L328" s="58"/>
      <c r="M328" s="58"/>
      <c r="N328" s="58"/>
    </row>
    <row r="329" spans="5:14">
      <c r="E329" s="58"/>
      <c r="F329" s="58"/>
      <c r="G329" s="58"/>
      <c r="H329" s="58"/>
      <c r="I329" s="58"/>
      <c r="J329" s="58"/>
      <c r="K329" s="58"/>
      <c r="L329" s="58"/>
      <c r="M329" s="58"/>
      <c r="N329" s="58"/>
    </row>
    <row r="330" spans="5:14">
      <c r="E330" s="58"/>
      <c r="F330" s="58"/>
      <c r="G330" s="58"/>
      <c r="H330" s="58"/>
      <c r="I330" s="58"/>
      <c r="J330" s="58"/>
      <c r="K330" s="58"/>
      <c r="L330" s="58"/>
      <c r="M330" s="58"/>
      <c r="N330" s="58"/>
    </row>
    <row r="331" spans="5:14">
      <c r="E331" s="58"/>
      <c r="F331" s="58"/>
      <c r="G331" s="58"/>
      <c r="H331" s="58"/>
      <c r="I331" s="58"/>
      <c r="J331" s="58"/>
      <c r="K331" s="58"/>
      <c r="L331" s="58"/>
      <c r="M331" s="58"/>
      <c r="N331" s="58"/>
    </row>
    <row r="332" spans="5:14">
      <c r="E332" s="58"/>
      <c r="F332" s="58"/>
      <c r="G332" s="58"/>
      <c r="H332" s="58"/>
      <c r="I332" s="58"/>
      <c r="J332" s="58"/>
      <c r="K332" s="58"/>
      <c r="L332" s="58"/>
      <c r="M332" s="58"/>
      <c r="N332" s="58"/>
    </row>
    <row r="333" spans="5:14">
      <c r="E333" s="58"/>
      <c r="F333" s="58"/>
      <c r="G333" s="58"/>
      <c r="H333" s="58"/>
      <c r="I333" s="58"/>
      <c r="J333" s="58"/>
      <c r="K333" s="58"/>
      <c r="L333" s="58"/>
      <c r="M333" s="58"/>
      <c r="N333" s="58"/>
    </row>
    <row r="334" spans="5:14">
      <c r="E334" s="58"/>
      <c r="F334" s="58"/>
      <c r="G334" s="58"/>
      <c r="H334" s="58"/>
      <c r="I334" s="58"/>
      <c r="J334" s="58"/>
      <c r="K334" s="58"/>
      <c r="L334" s="58"/>
      <c r="M334" s="58"/>
      <c r="N334" s="58"/>
    </row>
    <row r="335" spans="5:14">
      <c r="E335" s="58"/>
      <c r="F335" s="58"/>
      <c r="G335" s="58"/>
      <c r="H335" s="58"/>
      <c r="I335" s="58"/>
      <c r="J335" s="58"/>
      <c r="K335" s="58"/>
      <c r="L335" s="58"/>
      <c r="M335" s="58"/>
      <c r="N335" s="58"/>
    </row>
    <row r="336" spans="5:14">
      <c r="E336" s="58"/>
      <c r="F336" s="58"/>
      <c r="G336" s="58"/>
      <c r="H336" s="58"/>
      <c r="I336" s="58"/>
      <c r="J336" s="58"/>
      <c r="K336" s="58"/>
      <c r="L336" s="58"/>
      <c r="M336" s="58"/>
      <c r="N336" s="58"/>
    </row>
    <row r="337" spans="5:14">
      <c r="E337" s="58"/>
      <c r="F337" s="58"/>
      <c r="G337" s="58"/>
      <c r="H337" s="58"/>
      <c r="I337" s="58"/>
      <c r="J337" s="58"/>
      <c r="K337" s="58"/>
      <c r="L337" s="58"/>
      <c r="M337" s="58"/>
      <c r="N337" s="58"/>
    </row>
    <row r="338" spans="5:14">
      <c r="E338" s="58"/>
      <c r="F338" s="58"/>
      <c r="G338" s="58"/>
      <c r="H338" s="58"/>
      <c r="I338" s="58"/>
      <c r="J338" s="58"/>
      <c r="K338" s="58"/>
      <c r="L338" s="58"/>
      <c r="M338" s="58"/>
      <c r="N338" s="58"/>
    </row>
    <row r="339" spans="5:14">
      <c r="E339" s="58"/>
      <c r="F339" s="58"/>
      <c r="G339" s="58"/>
      <c r="H339" s="58"/>
      <c r="I339" s="58"/>
      <c r="J339" s="58"/>
      <c r="K339" s="58"/>
      <c r="L339" s="58"/>
      <c r="M339" s="58"/>
      <c r="N339" s="58"/>
    </row>
    <row r="340" spans="5:14">
      <c r="E340" s="58"/>
      <c r="F340" s="58"/>
      <c r="G340" s="58"/>
      <c r="H340" s="58"/>
      <c r="I340" s="58"/>
      <c r="J340" s="58"/>
      <c r="K340" s="58"/>
      <c r="L340" s="58"/>
      <c r="M340" s="58"/>
      <c r="N340" s="58"/>
    </row>
    <row r="341" spans="5:14">
      <c r="E341" s="58"/>
      <c r="F341" s="58"/>
      <c r="G341" s="58"/>
      <c r="H341" s="58"/>
      <c r="I341" s="58"/>
      <c r="J341" s="58"/>
      <c r="K341" s="58"/>
      <c r="L341" s="58"/>
      <c r="M341" s="58"/>
      <c r="N341" s="58"/>
    </row>
    <row r="342" spans="5:14">
      <c r="E342" s="58"/>
      <c r="F342" s="58"/>
      <c r="G342" s="58"/>
      <c r="H342" s="58"/>
      <c r="I342" s="58"/>
      <c r="J342" s="58"/>
      <c r="K342" s="58"/>
      <c r="L342" s="58"/>
      <c r="M342" s="58"/>
      <c r="N342" s="58"/>
    </row>
    <row r="343" spans="5:14">
      <c r="E343" s="58"/>
      <c r="F343" s="58"/>
      <c r="G343" s="58"/>
      <c r="H343" s="58"/>
      <c r="I343" s="58"/>
      <c r="J343" s="58"/>
      <c r="K343" s="58"/>
      <c r="L343" s="58"/>
      <c r="M343" s="58"/>
      <c r="N343" s="58"/>
    </row>
    <row r="344" spans="5:14">
      <c r="E344" s="58"/>
      <c r="F344" s="58"/>
      <c r="G344" s="58"/>
      <c r="H344" s="58"/>
      <c r="I344" s="58"/>
      <c r="J344" s="58"/>
      <c r="K344" s="58"/>
      <c r="L344" s="58"/>
      <c r="M344" s="58"/>
      <c r="N344" s="58"/>
    </row>
    <row r="345" spans="5:14">
      <c r="E345" s="58"/>
      <c r="F345" s="58"/>
      <c r="G345" s="58"/>
      <c r="H345" s="58"/>
      <c r="I345" s="58"/>
      <c r="J345" s="58"/>
      <c r="K345" s="58"/>
      <c r="L345" s="58"/>
      <c r="M345" s="58"/>
      <c r="N345" s="58"/>
    </row>
    <row r="346" spans="5:14">
      <c r="E346" s="58"/>
      <c r="F346" s="58"/>
      <c r="G346" s="58"/>
      <c r="H346" s="58"/>
      <c r="I346" s="58"/>
      <c r="J346" s="58"/>
      <c r="K346" s="58"/>
      <c r="L346" s="58"/>
      <c r="M346" s="58"/>
      <c r="N346" s="58"/>
    </row>
    <row r="347" spans="5:14">
      <c r="E347" s="58"/>
      <c r="F347" s="58"/>
      <c r="G347" s="58"/>
      <c r="H347" s="58"/>
      <c r="I347" s="58"/>
      <c r="J347" s="58"/>
      <c r="K347" s="58"/>
      <c r="L347" s="58"/>
      <c r="M347" s="58"/>
      <c r="N347" s="58"/>
    </row>
    <row r="348" spans="5:14">
      <c r="E348" s="58"/>
      <c r="F348" s="58"/>
      <c r="G348" s="58"/>
      <c r="H348" s="58"/>
      <c r="I348" s="58"/>
      <c r="J348" s="58"/>
      <c r="K348" s="58"/>
      <c r="L348" s="58"/>
      <c r="M348" s="58"/>
      <c r="N348" s="58"/>
    </row>
    <row r="349" spans="5:14">
      <c r="E349" s="58"/>
      <c r="F349" s="58"/>
      <c r="G349" s="58"/>
      <c r="H349" s="58"/>
      <c r="I349" s="58"/>
      <c r="J349" s="58"/>
      <c r="K349" s="58"/>
      <c r="L349" s="58"/>
      <c r="M349" s="58"/>
      <c r="N349" s="58"/>
    </row>
    <row r="350" spans="5:14">
      <c r="E350" s="58"/>
      <c r="F350" s="58"/>
      <c r="G350" s="58"/>
      <c r="H350" s="58"/>
      <c r="I350" s="58"/>
      <c r="J350" s="58"/>
      <c r="K350" s="58"/>
      <c r="L350" s="58"/>
      <c r="M350" s="58"/>
      <c r="N350" s="58"/>
    </row>
    <row r="351" spans="5:14">
      <c r="E351" s="58"/>
      <c r="F351" s="58"/>
      <c r="G351" s="58"/>
      <c r="H351" s="58"/>
      <c r="I351" s="58"/>
      <c r="J351" s="58"/>
      <c r="K351" s="58"/>
      <c r="L351" s="58"/>
      <c r="M351" s="58"/>
      <c r="N351" s="58"/>
    </row>
    <row r="352" spans="5:14">
      <c r="E352" s="58"/>
      <c r="F352" s="58"/>
      <c r="G352" s="58"/>
      <c r="H352" s="58"/>
      <c r="I352" s="58"/>
      <c r="J352" s="58"/>
      <c r="K352" s="58"/>
      <c r="L352" s="58"/>
      <c r="M352" s="58"/>
      <c r="N352" s="58"/>
    </row>
    <row r="353" spans="5:14">
      <c r="E353" s="58"/>
      <c r="F353" s="58"/>
      <c r="G353" s="58"/>
      <c r="H353" s="58"/>
      <c r="I353" s="58"/>
      <c r="J353" s="58"/>
      <c r="K353" s="58"/>
      <c r="L353" s="58"/>
      <c r="M353" s="58"/>
      <c r="N353" s="58"/>
    </row>
    <row r="354" spans="5:14">
      <c r="E354" s="58"/>
      <c r="F354" s="58"/>
      <c r="G354" s="58"/>
      <c r="H354" s="58"/>
      <c r="I354" s="58"/>
      <c r="J354" s="58"/>
      <c r="K354" s="58"/>
      <c r="L354" s="58"/>
      <c r="M354" s="58"/>
      <c r="N354" s="58"/>
    </row>
    <row r="355" spans="5:14">
      <c r="E355" s="58"/>
      <c r="F355" s="58"/>
      <c r="G355" s="58"/>
      <c r="H355" s="58"/>
      <c r="I355" s="58"/>
      <c r="J355" s="58"/>
      <c r="K355" s="58"/>
      <c r="L355" s="58"/>
      <c r="M355" s="58"/>
      <c r="N355" s="58"/>
    </row>
    <row r="356" spans="5:14">
      <c r="E356" s="58"/>
      <c r="F356" s="58"/>
      <c r="G356" s="58"/>
      <c r="H356" s="58"/>
      <c r="I356" s="58"/>
      <c r="J356" s="58"/>
      <c r="K356" s="58"/>
      <c r="L356" s="58"/>
      <c r="M356" s="58"/>
      <c r="N356" s="58"/>
    </row>
    <row r="357" spans="5:14">
      <c r="E357" s="58"/>
      <c r="F357" s="58"/>
      <c r="G357" s="58"/>
      <c r="H357" s="58"/>
      <c r="I357" s="58"/>
      <c r="J357" s="58"/>
      <c r="K357" s="58"/>
      <c r="L357" s="58"/>
      <c r="M357" s="58"/>
      <c r="N357" s="58"/>
    </row>
    <row r="358" spans="5:14">
      <c r="E358" s="58"/>
      <c r="F358" s="58"/>
      <c r="G358" s="58"/>
      <c r="H358" s="58"/>
      <c r="I358" s="58"/>
      <c r="J358" s="58"/>
      <c r="K358" s="58"/>
      <c r="L358" s="58"/>
      <c r="M358" s="58"/>
      <c r="N358" s="58"/>
    </row>
    <row r="359" spans="5:14">
      <c r="E359" s="58"/>
      <c r="F359" s="58"/>
      <c r="G359" s="58"/>
      <c r="H359" s="58"/>
      <c r="I359" s="58"/>
      <c r="J359" s="58"/>
      <c r="K359" s="58"/>
      <c r="L359" s="58"/>
      <c r="M359" s="58"/>
      <c r="N359" s="58"/>
    </row>
    <row r="360" spans="5:14">
      <c r="E360" s="58"/>
      <c r="F360" s="58"/>
      <c r="G360" s="58"/>
      <c r="H360" s="58"/>
      <c r="I360" s="58"/>
      <c r="J360" s="58"/>
      <c r="K360" s="58"/>
      <c r="L360" s="58"/>
      <c r="M360" s="58"/>
      <c r="N360" s="58"/>
    </row>
    <row r="361" spans="5:14">
      <c r="E361" s="58"/>
      <c r="F361" s="58"/>
      <c r="G361" s="58"/>
      <c r="H361" s="58"/>
      <c r="I361" s="58"/>
      <c r="J361" s="58"/>
      <c r="K361" s="58"/>
      <c r="L361" s="58"/>
      <c r="M361" s="58"/>
      <c r="N361" s="58"/>
    </row>
    <row r="362" spans="5:14">
      <c r="E362" s="58"/>
      <c r="F362" s="58"/>
      <c r="G362" s="58"/>
      <c r="H362" s="58"/>
      <c r="I362" s="58"/>
      <c r="J362" s="58"/>
      <c r="K362" s="58"/>
      <c r="L362" s="58"/>
      <c r="M362" s="58"/>
      <c r="N362" s="58"/>
    </row>
    <row r="363" spans="5:14">
      <c r="E363" s="58"/>
      <c r="F363" s="58"/>
      <c r="G363" s="58"/>
      <c r="H363" s="58"/>
      <c r="I363" s="58"/>
      <c r="J363" s="58"/>
      <c r="K363" s="58"/>
      <c r="L363" s="58"/>
      <c r="M363" s="58"/>
      <c r="N363" s="58"/>
    </row>
    <row r="364" spans="5:14">
      <c r="E364" s="58"/>
      <c r="F364" s="58"/>
      <c r="G364" s="58"/>
      <c r="H364" s="58"/>
      <c r="I364" s="58"/>
      <c r="J364" s="58"/>
      <c r="K364" s="58"/>
      <c r="L364" s="58"/>
      <c r="M364" s="58"/>
      <c r="N364" s="58"/>
    </row>
    <row r="365" spans="5:14">
      <c r="E365" s="58"/>
      <c r="F365" s="58"/>
      <c r="G365" s="58"/>
      <c r="H365" s="58"/>
      <c r="I365" s="58"/>
      <c r="J365" s="58"/>
      <c r="K365" s="58"/>
      <c r="L365" s="58"/>
      <c r="M365" s="58"/>
      <c r="N365" s="58"/>
    </row>
    <row r="366" spans="5:14">
      <c r="E366" s="58"/>
      <c r="F366" s="58"/>
      <c r="G366" s="58"/>
      <c r="H366" s="58"/>
      <c r="I366" s="58"/>
      <c r="J366" s="58"/>
      <c r="K366" s="58"/>
      <c r="L366" s="58"/>
      <c r="M366" s="58"/>
      <c r="N366" s="58"/>
    </row>
    <row r="367" spans="5:14">
      <c r="E367" s="58"/>
      <c r="F367" s="58"/>
      <c r="G367" s="58"/>
      <c r="H367" s="58"/>
      <c r="I367" s="58"/>
      <c r="J367" s="58"/>
      <c r="K367" s="58"/>
      <c r="L367" s="58"/>
      <c r="M367" s="58"/>
      <c r="N367" s="58"/>
    </row>
    <row r="368" spans="5:14">
      <c r="E368" s="58"/>
      <c r="F368" s="58"/>
      <c r="G368" s="58"/>
      <c r="H368" s="58"/>
      <c r="I368" s="58"/>
      <c r="J368" s="58"/>
      <c r="K368" s="58"/>
      <c r="L368" s="58"/>
      <c r="M368" s="58"/>
      <c r="N368" s="58"/>
    </row>
    <row r="369" spans="5:14">
      <c r="E369" s="58"/>
      <c r="F369" s="58"/>
      <c r="G369" s="58"/>
      <c r="H369" s="58"/>
      <c r="I369" s="58"/>
      <c r="J369" s="58"/>
      <c r="K369" s="58"/>
      <c r="L369" s="58"/>
      <c r="M369" s="58"/>
      <c r="N369" s="58"/>
    </row>
    <row r="370" spans="5:14">
      <c r="E370" s="58"/>
      <c r="F370" s="58"/>
      <c r="G370" s="58"/>
      <c r="H370" s="58"/>
      <c r="I370" s="58"/>
      <c r="J370" s="58"/>
      <c r="K370" s="58"/>
      <c r="L370" s="58"/>
      <c r="M370" s="58"/>
      <c r="N370" s="58"/>
    </row>
    <row r="371" spans="5:14">
      <c r="E371" s="58"/>
      <c r="F371" s="58"/>
      <c r="G371" s="58"/>
      <c r="H371" s="58"/>
      <c r="I371" s="58"/>
      <c r="J371" s="58"/>
      <c r="K371" s="58"/>
      <c r="L371" s="58"/>
      <c r="M371" s="58"/>
      <c r="N371" s="58"/>
    </row>
    <row r="372" spans="5:14">
      <c r="E372" s="58"/>
      <c r="F372" s="58"/>
      <c r="G372" s="58"/>
      <c r="H372" s="58"/>
      <c r="I372" s="58"/>
      <c r="J372" s="58"/>
      <c r="K372" s="58"/>
      <c r="L372" s="58"/>
      <c r="M372" s="58"/>
      <c r="N372" s="58"/>
    </row>
    <row r="373" spans="5:14">
      <c r="E373" s="58"/>
      <c r="F373" s="58"/>
      <c r="G373" s="58"/>
      <c r="H373" s="58"/>
      <c r="I373" s="58"/>
      <c r="J373" s="58"/>
      <c r="K373" s="58"/>
      <c r="L373" s="58"/>
      <c r="M373" s="58"/>
      <c r="N373" s="58"/>
    </row>
    <row r="374" spans="5:14">
      <c r="E374" s="58"/>
      <c r="F374" s="58"/>
      <c r="G374" s="58"/>
      <c r="H374" s="58"/>
      <c r="I374" s="58"/>
      <c r="J374" s="58"/>
      <c r="K374" s="58"/>
      <c r="L374" s="58"/>
      <c r="M374" s="58"/>
      <c r="N374" s="58"/>
    </row>
    <row r="375" spans="5:14">
      <c r="E375" s="58"/>
      <c r="F375" s="58"/>
      <c r="G375" s="58"/>
      <c r="H375" s="58"/>
      <c r="I375" s="58"/>
      <c r="J375" s="58"/>
      <c r="K375" s="58"/>
      <c r="L375" s="58"/>
      <c r="M375" s="58"/>
      <c r="N375" s="58"/>
    </row>
    <row r="376" spans="5:14">
      <c r="E376" s="58"/>
      <c r="F376" s="58"/>
      <c r="G376" s="58"/>
      <c r="H376" s="58"/>
      <c r="I376" s="58"/>
      <c r="J376" s="58"/>
      <c r="K376" s="58"/>
      <c r="L376" s="58"/>
      <c r="M376" s="58"/>
      <c r="N376" s="58"/>
    </row>
    <row r="377" spans="5:14">
      <c r="E377" s="58"/>
      <c r="F377" s="58"/>
      <c r="G377" s="58"/>
      <c r="H377" s="58"/>
      <c r="I377" s="58"/>
      <c r="J377" s="58"/>
      <c r="K377" s="58"/>
      <c r="L377" s="58"/>
      <c r="M377" s="58"/>
      <c r="N377" s="58"/>
    </row>
    <row r="378" spans="5:14">
      <c r="E378" s="58"/>
      <c r="F378" s="58"/>
      <c r="G378" s="58"/>
      <c r="H378" s="58"/>
      <c r="I378" s="58"/>
      <c r="J378" s="58"/>
      <c r="K378" s="58"/>
      <c r="L378" s="58"/>
      <c r="M378" s="58"/>
      <c r="N378" s="58"/>
    </row>
    <row r="379" spans="5:14">
      <c r="E379" s="58"/>
      <c r="F379" s="58"/>
      <c r="G379" s="58"/>
      <c r="H379" s="58"/>
      <c r="I379" s="58"/>
      <c r="J379" s="58"/>
      <c r="K379" s="58"/>
      <c r="L379" s="58"/>
      <c r="M379" s="58"/>
      <c r="N379" s="58"/>
    </row>
    <row r="380" spans="5:14">
      <c r="E380" s="58"/>
      <c r="F380" s="58"/>
      <c r="G380" s="58"/>
      <c r="H380" s="58"/>
      <c r="I380" s="58"/>
      <c r="J380" s="58"/>
      <c r="K380" s="58"/>
      <c r="L380" s="58"/>
      <c r="M380" s="58"/>
      <c r="N380" s="58"/>
    </row>
    <row r="381" spans="5:14">
      <c r="E381" s="58"/>
      <c r="F381" s="58"/>
      <c r="G381" s="58"/>
      <c r="H381" s="58"/>
      <c r="I381" s="58"/>
      <c r="J381" s="58"/>
      <c r="K381" s="58"/>
      <c r="L381" s="58"/>
      <c r="M381" s="58"/>
      <c r="N381" s="58"/>
    </row>
    <row r="382" spans="5:14">
      <c r="E382" s="58"/>
      <c r="F382" s="58"/>
      <c r="G382" s="58"/>
      <c r="H382" s="58"/>
      <c r="I382" s="58"/>
      <c r="J382" s="58"/>
      <c r="K382" s="58"/>
      <c r="L382" s="58"/>
      <c r="M382" s="58"/>
      <c r="N382" s="58"/>
    </row>
    <row r="383" spans="5:14">
      <c r="E383" s="58"/>
      <c r="F383" s="58"/>
      <c r="G383" s="58"/>
      <c r="H383" s="58"/>
      <c r="I383" s="58"/>
      <c r="J383" s="58"/>
      <c r="K383" s="58"/>
      <c r="L383" s="58"/>
      <c r="M383" s="58"/>
      <c r="N383" s="58"/>
    </row>
    <row r="384" spans="5:14">
      <c r="E384" s="58"/>
      <c r="F384" s="58"/>
      <c r="G384" s="58"/>
      <c r="H384" s="58"/>
      <c r="I384" s="58"/>
      <c r="J384" s="58"/>
      <c r="K384" s="58"/>
      <c r="L384" s="58"/>
      <c r="M384" s="58"/>
      <c r="N384" s="58"/>
    </row>
    <row r="385" spans="5:14">
      <c r="E385" s="58"/>
      <c r="F385" s="58"/>
      <c r="G385" s="58"/>
      <c r="H385" s="58"/>
      <c r="I385" s="58"/>
      <c r="J385" s="58"/>
      <c r="K385" s="58"/>
      <c r="L385" s="58"/>
      <c r="M385" s="58"/>
      <c r="N385" s="58"/>
    </row>
    <row r="386" spans="5:14">
      <c r="E386" s="58"/>
      <c r="F386" s="58"/>
      <c r="G386" s="58"/>
      <c r="H386" s="58"/>
      <c r="I386" s="58"/>
      <c r="J386" s="58"/>
      <c r="K386" s="58"/>
      <c r="L386" s="58"/>
      <c r="M386" s="58"/>
      <c r="N386" s="58"/>
    </row>
    <row r="387" spans="5:14">
      <c r="E387" s="58"/>
      <c r="F387" s="58"/>
      <c r="G387" s="58"/>
      <c r="H387" s="58"/>
      <c r="I387" s="58"/>
      <c r="J387" s="58"/>
      <c r="K387" s="58"/>
      <c r="L387" s="58"/>
      <c r="M387" s="58"/>
      <c r="N387" s="58"/>
    </row>
    <row r="388" spans="5:14">
      <c r="E388" s="58"/>
      <c r="F388" s="58"/>
      <c r="G388" s="58"/>
      <c r="H388" s="58"/>
      <c r="I388" s="58"/>
      <c r="J388" s="58"/>
      <c r="K388" s="58"/>
      <c r="L388" s="58"/>
      <c r="M388" s="58"/>
      <c r="N388" s="58"/>
    </row>
    <row r="389" spans="5:14">
      <c r="E389" s="58"/>
      <c r="F389" s="58"/>
      <c r="G389" s="58"/>
      <c r="H389" s="58"/>
      <c r="I389" s="58"/>
      <c r="J389" s="58"/>
      <c r="K389" s="58"/>
      <c r="L389" s="58"/>
      <c r="M389" s="58"/>
      <c r="N389" s="58"/>
    </row>
    <row r="390" spans="5:14">
      <c r="E390" s="58"/>
      <c r="F390" s="58"/>
      <c r="G390" s="58"/>
      <c r="H390" s="58"/>
      <c r="I390" s="58"/>
      <c r="J390" s="58"/>
      <c r="K390" s="58"/>
      <c r="L390" s="58"/>
      <c r="M390" s="58"/>
      <c r="N390" s="58"/>
    </row>
    <row r="391" spans="5:14">
      <c r="E391" s="58"/>
      <c r="F391" s="58"/>
      <c r="G391" s="58"/>
      <c r="H391" s="58"/>
      <c r="I391" s="58"/>
      <c r="J391" s="58"/>
      <c r="K391" s="58"/>
      <c r="L391" s="58"/>
      <c r="M391" s="58"/>
      <c r="N391" s="58"/>
    </row>
    <row r="392" spans="5:14">
      <c r="E392" s="58"/>
      <c r="F392" s="58"/>
      <c r="G392" s="58"/>
      <c r="H392" s="58"/>
      <c r="I392" s="58"/>
      <c r="J392" s="58"/>
      <c r="K392" s="58"/>
      <c r="L392" s="58"/>
      <c r="M392" s="58"/>
      <c r="N392" s="58"/>
    </row>
    <row r="393" spans="5:14">
      <c r="E393" s="58"/>
      <c r="F393" s="58"/>
      <c r="G393" s="58"/>
      <c r="H393" s="58"/>
      <c r="I393" s="58"/>
      <c r="J393" s="58"/>
      <c r="K393" s="58"/>
      <c r="L393" s="58"/>
      <c r="M393" s="58"/>
      <c r="N393" s="58"/>
    </row>
    <row r="394" spans="5:14">
      <c r="E394" s="58"/>
      <c r="F394" s="58"/>
      <c r="G394" s="58"/>
      <c r="H394" s="58"/>
      <c r="I394" s="58"/>
      <c r="J394" s="58"/>
      <c r="K394" s="58"/>
      <c r="L394" s="58"/>
      <c r="M394" s="58"/>
      <c r="N394" s="58"/>
    </row>
  </sheetData>
  <sheetProtection password="FA9C" sheet="1" objects="1" scenarios="1" formatColumns="0" formatRows="0"/>
  <mergeCells count="140">
    <mergeCell ref="BJ8:BJ10"/>
    <mergeCell ref="AR9:AR10"/>
    <mergeCell ref="AN7:AO9"/>
    <mergeCell ref="DC7:DC10"/>
    <mergeCell ref="DF7:DH8"/>
    <mergeCell ref="BC9:BD9"/>
    <mergeCell ref="AL7:AL10"/>
    <mergeCell ref="AU9:AU10"/>
    <mergeCell ref="BC8:BG8"/>
    <mergeCell ref="AX9:AY9"/>
    <mergeCell ref="BF9:BG9"/>
    <mergeCell ref="BO7:BP9"/>
    <mergeCell ref="BU7:BU10"/>
    <mergeCell ref="BQ7:BR9"/>
    <mergeCell ref="BT7:BT10"/>
    <mergeCell ref="CA9:CB9"/>
    <mergeCell ref="CF8:CJ8"/>
    <mergeCell ref="BV7:BW9"/>
    <mergeCell ref="CK9:CL9"/>
    <mergeCell ref="O4:S4"/>
    <mergeCell ref="O5:S5"/>
    <mergeCell ref="Q9:Q10"/>
    <mergeCell ref="P6:P10"/>
    <mergeCell ref="Q6:S8"/>
    <mergeCell ref="BK8:BL9"/>
    <mergeCell ref="BH7:BL7"/>
    <mergeCell ref="AP9:AQ9"/>
    <mergeCell ref="AP7:AR8"/>
    <mergeCell ref="AM7:AM10"/>
    <mergeCell ref="BA9:BB9"/>
    <mergeCell ref="AS9:AT9"/>
    <mergeCell ref="AV9:AW9"/>
    <mergeCell ref="AZ9:AZ10"/>
    <mergeCell ref="BM7:BN9"/>
    <mergeCell ref="AS7:BG7"/>
    <mergeCell ref="EC6:FJ6"/>
    <mergeCell ref="ET9:EU9"/>
    <mergeCell ref="EV9:EW9"/>
    <mergeCell ref="FF7:FJ7"/>
    <mergeCell ref="FC9:FC10"/>
    <mergeCell ref="EA8:EB9"/>
    <mergeCell ref="DA7:DA10"/>
    <mergeCell ref="DX8:DY9"/>
    <mergeCell ref="DS8:DW8"/>
    <mergeCell ref="DP9:DP10"/>
    <mergeCell ref="EI7:EI10"/>
    <mergeCell ref="EG7:EH9"/>
    <mergeCell ref="DX7:EB7"/>
    <mergeCell ref="DH9:DH10"/>
    <mergeCell ref="O32:S34"/>
    <mergeCell ref="S9:S10"/>
    <mergeCell ref="AD6:AD10"/>
    <mergeCell ref="O21:O22"/>
    <mergeCell ref="O6:O10"/>
    <mergeCell ref="R9:R10"/>
    <mergeCell ref="O11:O14"/>
    <mergeCell ref="FO9:FO10"/>
    <mergeCell ref="CU6:EB6"/>
    <mergeCell ref="DF9:DG9"/>
    <mergeCell ref="BX9:BY9"/>
    <mergeCell ref="BX7:BZ8"/>
    <mergeCell ref="EP9:EP10"/>
    <mergeCell ref="EN7:EP8"/>
    <mergeCell ref="EY9:EZ9"/>
    <mergeCell ref="FA9:FB9"/>
    <mergeCell ref="DD7:DE9"/>
    <mergeCell ref="AE6:BL6"/>
    <mergeCell ref="AS8:AW8"/>
    <mergeCell ref="AX8:BB8"/>
    <mergeCell ref="BE9:BE10"/>
    <mergeCell ref="AG7:AH9"/>
    <mergeCell ref="AI7:AJ9"/>
    <mergeCell ref="AE7:AF9"/>
    <mergeCell ref="AK7:AK10"/>
    <mergeCell ref="FT21:FT22"/>
    <mergeCell ref="FT12:FT14"/>
    <mergeCell ref="EQ8:EU8"/>
    <mergeCell ref="FQ9:FQ10"/>
    <mergeCell ref="FP9:FP10"/>
    <mergeCell ref="EX9:EX10"/>
    <mergeCell ref="FO6:FO8"/>
    <mergeCell ref="EQ9:ER9"/>
    <mergeCell ref="FT6:FT10"/>
    <mergeCell ref="BM6:CT6"/>
    <mergeCell ref="BH8:BI9"/>
    <mergeCell ref="DV9:DW9"/>
    <mergeCell ref="CU7:CV9"/>
    <mergeCell ref="CY7:CZ9"/>
    <mergeCell ref="CR8:CR10"/>
    <mergeCell ref="CP7:CT7"/>
    <mergeCell ref="DI9:DJ9"/>
    <mergeCell ref="DI7:DW7"/>
    <mergeCell ref="DB7:DB10"/>
    <mergeCell ref="DN9:DO9"/>
    <mergeCell ref="DL9:DM9"/>
    <mergeCell ref="DZ8:DZ10"/>
    <mergeCell ref="FA8:FE8"/>
    <mergeCell ref="FX9:FX10"/>
    <mergeCell ref="DQ9:DR9"/>
    <mergeCell ref="DU9:DU10"/>
    <mergeCell ref="EL7:EM9"/>
    <mergeCell ref="EN9:EO9"/>
    <mergeCell ref="FU6:FU10"/>
    <mergeCell ref="FW9:FW10"/>
    <mergeCell ref="FV9:FV10"/>
    <mergeCell ref="FV6:FX8"/>
    <mergeCell ref="FR9:FR10"/>
    <mergeCell ref="FP6:FP8"/>
    <mergeCell ref="FF8:FG9"/>
    <mergeCell ref="EE7:EF9"/>
    <mergeCell ref="ES9:ES10"/>
    <mergeCell ref="EK7:EK10"/>
    <mergeCell ref="FH8:FH10"/>
    <mergeCell ref="EJ7:EJ10"/>
    <mergeCell ref="EC7:ED9"/>
    <mergeCell ref="FR6:FR8"/>
    <mergeCell ref="FI8:FJ9"/>
    <mergeCell ref="FD9:FE9"/>
    <mergeCell ref="EV8:EZ8"/>
    <mergeCell ref="EQ7:FE7"/>
    <mergeCell ref="FQ6:FQ8"/>
    <mergeCell ref="BS7:BS10"/>
    <mergeCell ref="CN9:CO9"/>
    <mergeCell ref="DS9:DT9"/>
    <mergeCell ref="DN8:DR8"/>
    <mergeCell ref="DK9:DK10"/>
    <mergeCell ref="DI8:DM8"/>
    <mergeCell ref="CS8:CT9"/>
    <mergeCell ref="CA8:CE8"/>
    <mergeCell ref="CP8:CQ9"/>
    <mergeCell ref="CW7:CX9"/>
    <mergeCell ref="CK8:CO8"/>
    <mergeCell ref="CD9:CE9"/>
    <mergeCell ref="CF9:CG9"/>
    <mergeCell ref="BZ9:BZ10"/>
    <mergeCell ref="CM9:CM10"/>
    <mergeCell ref="CH9:CH10"/>
    <mergeCell ref="CC9:CC10"/>
    <mergeCell ref="CA7:CO7"/>
    <mergeCell ref="CI9:CJ9"/>
  </mergeCells>
  <phoneticPr fontId="0" type="noConversion"/>
  <hyperlinks>
    <hyperlink ref="FF5" location="'Т итого'!A1" tooltip="Отобразить / Скрыть блок" display="+"/>
    <hyperlink ref="EC4" location="'Т итого'!A1" tooltip="Отобразить / Скрыть блок" display="+"/>
    <hyperlink ref="EQ5" location="'Т итого'!A1" tooltip="Отобразить / Скрыть блок" display="+"/>
    <hyperlink ref="BH5" location="'Т итого'!A1" tooltip="Отобразить / Скрыть блок" display="+"/>
    <hyperlink ref="CP5" location="'Т итого'!A1" tooltip="Отобразить / Скрыть блок" display="+"/>
    <hyperlink ref="DX5" location="'Т итого'!A1" tooltip="Отобразить / Скрыть блок" display="+"/>
    <hyperlink ref="AE4" location="'Т итого'!A1" tooltip="Отобразить / Скрыть блок" display="+"/>
    <hyperlink ref="BM4" location="'Т итого'!A1" tooltip="Отобразить / Скрыть блок" display="+"/>
    <hyperlink ref="CU4" location="'Т итого'!A1" tooltip="Отобразить / Скрыть блок" display="+"/>
    <hyperlink ref="AS5" location="'Т итого'!A1" tooltip="Отобразить / Скрыть блок" display="+"/>
    <hyperlink ref="CA5" location="'Т итого'!A1" tooltip="Отобразить / Скрыть блок" display="+"/>
    <hyperlink ref="DI5" location="'Т итого'!A1" tooltip="Отобразить / Скрыть блок" display="+"/>
  </hyperlinks>
  <pageMargins left="0.74803149606299213" right="0.74803149606299213" top="0.15748031496062992" bottom="0.23622047244094491" header="0.19685039370078741" footer="0.23622047244094491"/>
  <pageSetup paperSize="9" scale="60" orientation="portrait" r:id="rId1"/>
  <headerFooter alignWithMargins="0"/>
  <drawing r:id="rId2"/>
  <legacyDrawing r:id="rId3"/>
  <controls>
    <control shapeId="54273" r:id="rId4" name="cmdStub"/>
    <control shapeId="54274" r:id="rId5" name="tglVAT"/>
    <control shapeId="54275" r:id="rId6" name="tglNoVAT"/>
  </controls>
</worksheet>
</file>

<file path=xl/worksheets/sheet8.xml><?xml version="1.0" encoding="utf-8"?>
<worksheet xmlns="http://schemas.openxmlformats.org/spreadsheetml/2006/main" xmlns:r="http://schemas.openxmlformats.org/officeDocument/2006/relationships">
  <sheetPr codeName="LOST_INCOME">
    <tabColor rgb="FF92D050"/>
    <outlinePr summaryBelow="0"/>
  </sheetPr>
  <dimension ref="A1:GI397"/>
  <sheetViews>
    <sheetView showGridLines="0" topLeftCell="F7" zoomScale="90" zoomScaleNormal="90" workbookViewId="0">
      <pane xSplit="25" ySplit="39" topLeftCell="AE46" activePane="bottomRight" state="frozen"/>
      <selection pane="topRight"/>
      <selection pane="bottomLeft"/>
      <selection pane="bottomRight"/>
    </sheetView>
  </sheetViews>
  <sheetFormatPr defaultColWidth="8.7109375" defaultRowHeight="11.25"/>
  <cols>
    <col min="1" max="4" width="5.7109375" style="47" hidden="1" customWidth="1"/>
    <col min="5" max="5" width="2.85546875" style="47" hidden="1" customWidth="1"/>
    <col min="6" max="6" width="1.28515625" style="48" customWidth="1"/>
    <col min="7" max="7" width="4.7109375" style="49" customWidth="1"/>
    <col min="8" max="8" width="3.7109375" style="49" customWidth="1"/>
    <col min="9" max="9" width="6.7109375" style="47" customWidth="1"/>
    <col min="10" max="12" width="0.140625" style="47" customWidth="1"/>
    <col min="13" max="13" width="12.7109375" style="47" customWidth="1"/>
    <col min="14" max="14" width="11.7109375" style="47" customWidth="1"/>
    <col min="15" max="15" width="24.7109375" style="47" customWidth="1"/>
    <col min="16" max="16" width="0.140625" style="47" customWidth="1"/>
    <col min="17" max="17" width="15.7109375" style="47" customWidth="1"/>
    <col min="18" max="25" width="0.140625" style="47" customWidth="1"/>
    <col min="26" max="26" width="3.5703125" style="47" customWidth="1"/>
    <col min="27" max="27" width="3.5703125" style="49" customWidth="1"/>
    <col min="28" max="28" width="14.7109375" style="47" customWidth="1"/>
    <col min="29" max="29" width="16.7109375" style="47" customWidth="1"/>
    <col min="30" max="30" width="27.7109375" style="47" hidden="1" customWidth="1"/>
    <col min="31" max="34" width="12.7109375" style="47" customWidth="1"/>
    <col min="35" max="35" width="0.140625" style="47" customWidth="1"/>
    <col min="36" max="36" width="20.7109375" style="47" customWidth="1"/>
    <col min="37" max="38" width="12.7109375" style="47" customWidth="1"/>
    <col min="39" max="40" width="12.7109375" style="47" hidden="1" customWidth="1"/>
    <col min="41" max="41" width="0.140625" style="47" hidden="1" customWidth="1"/>
    <col min="42" max="42" width="20.7109375" style="47" hidden="1" customWidth="1"/>
    <col min="43" max="46" width="12.7109375" style="47" hidden="1" customWidth="1"/>
    <col min="47" max="47" width="0.140625" style="47" hidden="1" customWidth="1"/>
    <col min="48" max="48" width="20.7109375" style="47" hidden="1" customWidth="1"/>
    <col min="49" max="52" width="12.7109375" style="47" hidden="1" customWidth="1"/>
    <col min="53" max="53" width="0.140625" style="47" hidden="1" customWidth="1"/>
    <col min="54" max="54" width="20.5703125" style="47" hidden="1" customWidth="1"/>
    <col min="55" max="56" width="12.7109375" style="47" hidden="1" customWidth="1"/>
    <col min="57" max="58" width="8.7109375" style="47" hidden="1" customWidth="1"/>
    <col min="59" max="61" width="0.140625" style="47" customWidth="1"/>
    <col min="62" max="62" width="30.7109375" style="47" customWidth="1"/>
    <col min="63" max="63" width="8.85546875" style="47" customWidth="1"/>
    <col min="64" max="183" width="0.140625" style="47" customWidth="1"/>
    <col min="184" max="185" width="8.7109375" style="47"/>
    <col min="186" max="190" width="0" style="47" hidden="1" customWidth="1"/>
    <col min="191" max="191" width="90.7109375" style="47" hidden="1" customWidth="1"/>
    <col min="192" max="16384" width="8.7109375" style="47"/>
  </cols>
  <sheetData>
    <row r="1" spans="1:182" ht="12" hidden="1" customHeight="1">
      <c r="A1" s="47" t="s">
        <v>1526</v>
      </c>
    </row>
    <row r="2" spans="1:182" ht="12" hidden="1" customHeight="1"/>
    <row r="3" spans="1:182" ht="12" hidden="1" customHeight="1"/>
    <row r="4" spans="1:182" ht="12" hidden="1" customHeight="1"/>
    <row r="5" spans="1:182" ht="12" hidden="1" customHeight="1"/>
    <row r="6" spans="1:182" ht="12" hidden="1" customHeight="1"/>
    <row r="7" spans="1:182" ht="12" customHeight="1">
      <c r="F7" s="68"/>
      <c r="G7" s="73"/>
      <c r="H7" s="73"/>
      <c r="I7" s="144"/>
      <c r="J7" s="68"/>
      <c r="K7" s="68"/>
      <c r="L7" s="68"/>
      <c r="M7" s="68"/>
      <c r="N7" s="68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64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</row>
    <row r="8" spans="1:182" s="145" customFormat="1" ht="18" customHeight="1">
      <c r="F8" s="146"/>
      <c r="G8" s="146"/>
      <c r="H8" s="147"/>
      <c r="I8" s="241" t="str">
        <f>"Информация о фактически сложившихся ценах и объёмах потребления топлива по итогам " &amp; CURRENT_PRD &amp; " " &amp; god &amp; " года. Оценка выпадающих доходов"</f>
        <v>Информация о фактически сложившихся ценах и объёмах потребления топлива по итогам 12 месяцев 2014 года. Оценка выпадающих доходов</v>
      </c>
      <c r="J8" s="239"/>
      <c r="K8" s="239"/>
      <c r="L8" s="239"/>
      <c r="M8" s="239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</row>
    <row r="9" spans="1:182" s="145" customFormat="1" ht="18" customHeight="1">
      <c r="F9" s="146"/>
      <c r="G9" s="146"/>
      <c r="H9" s="147"/>
      <c r="I9" s="84" t="str">
        <f>"Субъект Российской Федерации: " &amp; region_name</f>
        <v>Субъект Российской Федерации: Ставропольский край</v>
      </c>
      <c r="J9" s="84"/>
      <c r="K9" s="84"/>
      <c r="L9" s="84"/>
      <c r="M9" s="84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</row>
    <row r="10" spans="1:182" s="145" customFormat="1" ht="35.25" customHeight="1">
      <c r="E10" s="146"/>
      <c r="F10" s="147"/>
      <c r="G10" s="150"/>
      <c r="H10" s="150"/>
      <c r="J10" s="146"/>
      <c r="K10" s="151"/>
      <c r="L10" s="151"/>
      <c r="M10" s="150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52"/>
      <c r="AB10" s="474" t="s">
        <v>1769</v>
      </c>
      <c r="AC10" s="474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</row>
    <row r="11" spans="1:182" s="153" customFormat="1" ht="3" customHeight="1">
      <c r="E11" s="154"/>
      <c r="F11" s="154"/>
      <c r="G11" s="154"/>
      <c r="H11" s="154"/>
      <c r="I11"/>
      <c r="J11"/>
      <c r="K11"/>
      <c r="L11"/>
      <c r="M11"/>
      <c r="N11"/>
      <c r="O11"/>
      <c r="P11" s="146"/>
      <c r="Q11" s="146"/>
      <c r="R11" s="146"/>
      <c r="S11" s="146"/>
      <c r="T11" s="146"/>
      <c r="U11" s="146"/>
      <c r="V11" s="146"/>
      <c r="W11" s="146"/>
      <c r="X11" s="146"/>
      <c r="Y11" s="154"/>
      <c r="Z11" s="154"/>
      <c r="AA11" s="155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 s="197"/>
      <c r="BS11" s="197"/>
      <c r="BT11" s="197"/>
      <c r="BU11" s="197"/>
      <c r="BV11" s="197"/>
      <c r="BW11" s="197"/>
      <c r="BX11" s="197"/>
      <c r="BY11" s="197"/>
      <c r="BZ11" s="197"/>
      <c r="CA11" s="197"/>
      <c r="CB11" s="197"/>
      <c r="CC11" s="197"/>
      <c r="CD11" s="197"/>
      <c r="CE11" s="197"/>
      <c r="CF11" s="197"/>
      <c r="CG11" s="197"/>
      <c r="CH11" s="197"/>
      <c r="CI11" s="197"/>
      <c r="CJ11" s="197"/>
      <c r="CK11" s="197"/>
      <c r="CL11" s="197"/>
      <c r="CM11" s="197"/>
      <c r="CN11" s="197"/>
      <c r="CO11" s="197"/>
      <c r="CP11" s="197"/>
      <c r="CQ11" s="197"/>
      <c r="CR11" s="197"/>
      <c r="CS11" s="197"/>
      <c r="CT11" s="197"/>
      <c r="CU11" s="197"/>
      <c r="CV11" s="197"/>
      <c r="CW11" s="197"/>
      <c r="CX11" s="197"/>
      <c r="CY11" s="197"/>
      <c r="CZ11" s="197"/>
      <c r="DA11" s="197"/>
      <c r="DB11" s="197"/>
      <c r="DC11" s="197"/>
      <c r="DD11" s="197"/>
      <c r="DE11" s="197"/>
      <c r="DF11" s="197"/>
      <c r="DG11" s="197"/>
      <c r="DH11" s="197"/>
      <c r="DI11" s="197"/>
      <c r="DJ11" s="197"/>
      <c r="DK11" s="197"/>
      <c r="DL11" s="197"/>
      <c r="DM11" s="197"/>
      <c r="DN11" s="197"/>
      <c r="DO11" s="197"/>
      <c r="DP11" s="197"/>
      <c r="DQ11" s="197"/>
      <c r="DR11" s="197"/>
      <c r="DS11" s="197"/>
      <c r="DT11" s="197"/>
      <c r="DU11" s="197"/>
      <c r="DV11" s="197"/>
      <c r="DW11" s="197"/>
      <c r="DX11" s="197"/>
      <c r="DY11" s="197"/>
      <c r="DZ11" s="197"/>
      <c r="EA11" s="197"/>
      <c r="EB11" s="197"/>
      <c r="EC11" s="197"/>
      <c r="ED11" s="197"/>
      <c r="EE11" s="197"/>
      <c r="EF11" s="197"/>
      <c r="EG11" s="197"/>
      <c r="EH11" s="197"/>
      <c r="EI11" s="197"/>
      <c r="EJ11" s="197"/>
      <c r="EK11" s="197"/>
      <c r="EL11" s="197"/>
      <c r="EM11" s="197"/>
      <c r="EN11" s="197"/>
      <c r="EO11" s="197"/>
      <c r="EP11" s="197"/>
      <c r="EQ11" s="197"/>
      <c r="ER11" s="197"/>
      <c r="ES11" s="197"/>
      <c r="ET11" s="197"/>
      <c r="EU11" s="197"/>
      <c r="EV11" s="197"/>
      <c r="EW11" s="197"/>
      <c r="EX11" s="197"/>
      <c r="EY11" s="197"/>
      <c r="EZ11" s="197"/>
      <c r="FA11" s="197"/>
      <c r="FB11" s="197"/>
      <c r="FC11" s="197"/>
      <c r="FD11" s="197"/>
      <c r="FE11" s="197"/>
      <c r="FF11" s="197"/>
      <c r="FG11" s="197"/>
      <c r="FH11" s="197"/>
      <c r="FI11" s="197"/>
      <c r="FJ11" s="197"/>
      <c r="FK11" s="197"/>
      <c r="FL11" s="197"/>
      <c r="FM11" s="197"/>
      <c r="FN11" s="197"/>
      <c r="FO11" s="197"/>
      <c r="FP11" s="197"/>
      <c r="FQ11" s="197"/>
      <c r="FR11" s="197"/>
      <c r="FS11" s="197"/>
      <c r="FT11" s="197"/>
      <c r="FU11" s="197"/>
      <c r="FV11" s="197"/>
      <c r="FW11" s="197"/>
      <c r="FX11" s="197"/>
      <c r="FY11" s="197"/>
      <c r="FZ11" s="197"/>
    </row>
    <row r="12" spans="1:182" s="153" customFormat="1" ht="0.75" customHeight="1">
      <c r="F12" s="154"/>
      <c r="G12" s="154"/>
      <c r="H12" s="154"/>
      <c r="I12" s="145"/>
      <c r="J12" s="156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5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 s="197"/>
      <c r="BS12" s="197"/>
      <c r="BT12" s="197"/>
      <c r="BU12" s="197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97"/>
      <c r="CZ12" s="197"/>
      <c r="DA12" s="197"/>
      <c r="DB12" s="197"/>
      <c r="DC12" s="197"/>
      <c r="DD12" s="197"/>
      <c r="DE12" s="197"/>
      <c r="DF12" s="197"/>
      <c r="DG12" s="197"/>
      <c r="DH12" s="197"/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97"/>
      <c r="EA12" s="197"/>
      <c r="EB12" s="197"/>
      <c r="EC12" s="197"/>
      <c r="ED12" s="197"/>
      <c r="EE12" s="197"/>
      <c r="EF12" s="197"/>
      <c r="EG12" s="197"/>
      <c r="EH12" s="197"/>
      <c r="EI12" s="197"/>
      <c r="EJ12" s="197"/>
      <c r="EK12" s="197"/>
      <c r="EL12" s="197"/>
      <c r="EM12" s="197"/>
      <c r="EN12" s="197"/>
      <c r="EO12" s="197"/>
      <c r="EP12" s="197"/>
      <c r="EQ12" s="197"/>
      <c r="ER12" s="197"/>
      <c r="ES12" s="197"/>
      <c r="ET12" s="197"/>
      <c r="EU12" s="197"/>
      <c r="EV12" s="197"/>
      <c r="EW12" s="197"/>
      <c r="EX12" s="197"/>
      <c r="EY12" s="197"/>
      <c r="EZ12" s="197"/>
      <c r="FA12" s="197"/>
      <c r="FB12" s="197"/>
      <c r="FC12" s="197"/>
      <c r="FD12" s="197"/>
      <c r="FE12" s="197"/>
      <c r="FF12" s="197"/>
      <c r="FG12" s="197"/>
      <c r="FH12" s="197"/>
      <c r="FI12" s="197"/>
      <c r="FJ12" s="197"/>
      <c r="FK12" s="197"/>
      <c r="FL12" s="197"/>
      <c r="FM12" s="197"/>
      <c r="FN12" s="197"/>
      <c r="FO12" s="197"/>
      <c r="FP12" s="197"/>
      <c r="FQ12" s="197"/>
      <c r="FR12" s="197"/>
      <c r="FS12" s="197"/>
      <c r="FT12" s="197"/>
      <c r="FU12" s="197"/>
      <c r="FV12" s="197"/>
      <c r="FW12" s="197"/>
      <c r="FX12" s="197"/>
      <c r="FY12" s="197"/>
      <c r="FZ12" s="197"/>
    </row>
    <row r="13" spans="1:182" s="153" customFormat="1" ht="0.75" customHeight="1">
      <c r="F13" s="154"/>
      <c r="G13" s="154"/>
      <c r="H13" s="154"/>
      <c r="J13" s="156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5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97"/>
      <c r="CZ13" s="197"/>
      <c r="DA13" s="197"/>
      <c r="DB13" s="197"/>
      <c r="DC13" s="197"/>
      <c r="DD13" s="197"/>
      <c r="DE13" s="197"/>
      <c r="DF13" s="197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97"/>
      <c r="EA13" s="197"/>
      <c r="EB13" s="197"/>
      <c r="EC13" s="197"/>
      <c r="ED13" s="197"/>
      <c r="EE13" s="197"/>
      <c r="EF13" s="197"/>
      <c r="EG13" s="197"/>
      <c r="EH13" s="197"/>
      <c r="EI13" s="197"/>
      <c r="EJ13" s="197"/>
      <c r="EK13" s="197"/>
      <c r="EL13" s="197"/>
      <c r="EM13" s="197"/>
      <c r="EN13" s="197"/>
      <c r="EO13" s="197"/>
      <c r="EP13" s="197"/>
      <c r="EQ13" s="197"/>
      <c r="ER13" s="197"/>
      <c r="ES13" s="197"/>
      <c r="ET13" s="197"/>
      <c r="EU13" s="197"/>
      <c r="EV13" s="197"/>
      <c r="EW13" s="197"/>
      <c r="EX13" s="197"/>
      <c r="EY13" s="197"/>
      <c r="EZ13" s="197"/>
      <c r="FA13" s="197"/>
      <c r="FB13" s="197"/>
      <c r="FC13" s="197"/>
      <c r="FD13" s="197"/>
      <c r="FE13" s="197"/>
      <c r="FF13" s="197"/>
      <c r="FG13" s="197"/>
      <c r="FH13" s="197"/>
      <c r="FI13" s="197"/>
      <c r="FJ13" s="197"/>
      <c r="FK13" s="197"/>
      <c r="FL13" s="197"/>
      <c r="FM13" s="197"/>
      <c r="FN13" s="197"/>
      <c r="FO13" s="197"/>
      <c r="FP13" s="197"/>
      <c r="FQ13" s="197"/>
      <c r="FR13" s="197"/>
      <c r="FS13" s="197"/>
      <c r="FT13" s="197"/>
      <c r="FU13" s="197"/>
      <c r="FV13" s="197"/>
      <c r="FW13" s="197"/>
      <c r="FX13" s="197"/>
      <c r="FY13" s="197"/>
      <c r="FZ13" s="197"/>
    </row>
    <row r="14" spans="1:182" s="153" customFormat="1" ht="0.75" customHeight="1">
      <c r="F14" s="154"/>
      <c r="G14" s="154"/>
      <c r="H14" s="154"/>
      <c r="J14" s="156"/>
      <c r="K14" s="154"/>
      <c r="L14" s="154"/>
      <c r="M14" s="15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197"/>
      <c r="BS14" s="197"/>
      <c r="BT14" s="197"/>
      <c r="BU14" s="197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97"/>
      <c r="CZ14" s="197"/>
      <c r="DA14" s="197"/>
      <c r="DB14" s="197"/>
      <c r="DC14" s="197"/>
      <c r="DD14" s="197"/>
      <c r="DE14" s="197"/>
      <c r="DF14" s="197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97"/>
      <c r="EA14" s="197"/>
      <c r="EB14" s="197"/>
      <c r="EC14" s="197"/>
      <c r="ED14" s="197"/>
      <c r="EE14" s="197"/>
      <c r="EF14" s="197"/>
      <c r="EG14" s="197"/>
      <c r="EH14" s="197"/>
      <c r="EI14" s="197"/>
      <c r="EJ14" s="197"/>
      <c r="EK14" s="197"/>
      <c r="EL14" s="197"/>
      <c r="EM14" s="197"/>
      <c r="EN14" s="197"/>
      <c r="EO14" s="197"/>
      <c r="EP14" s="197"/>
      <c r="EQ14" s="197"/>
      <c r="ER14" s="197"/>
      <c r="ES14" s="197"/>
      <c r="ET14" s="197"/>
      <c r="EU14" s="197"/>
      <c r="EV14" s="197"/>
      <c r="EW14" s="197"/>
      <c r="EX14" s="197"/>
      <c r="EY14" s="197"/>
      <c r="EZ14" s="197"/>
      <c r="FA14" s="197"/>
      <c r="FB14" s="197"/>
      <c r="FC14" s="197"/>
      <c r="FD14" s="197"/>
      <c r="FE14" s="197"/>
      <c r="FF14" s="197"/>
      <c r="FG14" s="197"/>
      <c r="FH14" s="197"/>
      <c r="FI14" s="197"/>
      <c r="FJ14" s="197"/>
      <c r="FK14" s="197"/>
      <c r="FL14" s="197"/>
      <c r="FM14" s="197"/>
      <c r="FN14" s="197"/>
      <c r="FO14" s="197"/>
      <c r="FP14" s="197"/>
      <c r="FQ14" s="197"/>
      <c r="FR14" s="197"/>
      <c r="FS14" s="197"/>
      <c r="FT14" s="197"/>
      <c r="FU14" s="197"/>
      <c r="FV14" s="197"/>
      <c r="FW14" s="197"/>
      <c r="FX14" s="197"/>
      <c r="FY14" s="197"/>
      <c r="FZ14" s="197"/>
    </row>
    <row r="15" spans="1:182" s="153" customFormat="1" ht="0.75" customHeight="1">
      <c r="F15" s="154"/>
      <c r="G15" s="154"/>
      <c r="H15" s="154"/>
      <c r="J15" s="156"/>
      <c r="K15" s="154"/>
      <c r="L15" s="154"/>
      <c r="M15" s="154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197"/>
      <c r="BS15" s="197"/>
      <c r="BT15" s="197"/>
      <c r="BU15" s="197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7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  <c r="EM15" s="197"/>
      <c r="EN15" s="197"/>
      <c r="EO15" s="197"/>
      <c r="EP15" s="197"/>
      <c r="EQ15" s="197"/>
      <c r="ER15" s="197"/>
      <c r="ES15" s="197"/>
      <c r="ET15" s="197"/>
      <c r="EU15" s="197"/>
      <c r="EV15" s="197"/>
      <c r="EW15" s="197"/>
      <c r="EX15" s="197"/>
      <c r="EY15" s="197"/>
      <c r="EZ15" s="197"/>
      <c r="FA15" s="197"/>
      <c r="FB15" s="197"/>
      <c r="FC15" s="197"/>
      <c r="FD15" s="197"/>
      <c r="FE15" s="197"/>
      <c r="FF15" s="197"/>
      <c r="FG15" s="197"/>
      <c r="FH15" s="197"/>
      <c r="FI15" s="197"/>
      <c r="FJ15" s="197"/>
      <c r="FK15" s="197"/>
      <c r="FL15" s="197"/>
      <c r="FM15" s="197"/>
      <c r="FN15" s="197"/>
      <c r="FO15" s="197"/>
      <c r="FP15" s="197"/>
      <c r="FQ15" s="197"/>
      <c r="FR15" s="197"/>
      <c r="FS15" s="197"/>
      <c r="FT15" s="197"/>
      <c r="FU15" s="197"/>
      <c r="FV15" s="197"/>
      <c r="FW15" s="197"/>
      <c r="FX15" s="197"/>
      <c r="FY15" s="197"/>
      <c r="FZ15" s="197"/>
    </row>
    <row r="16" spans="1:182" s="153" customFormat="1" ht="0.75" customHeight="1">
      <c r="F16" s="154"/>
      <c r="G16" s="154"/>
      <c r="H16" s="154"/>
      <c r="I16" s="154"/>
      <c r="J16" s="154"/>
      <c r="K16" s="154"/>
      <c r="L16" s="154"/>
      <c r="M16" s="154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197"/>
      <c r="BS16" s="197"/>
      <c r="BT16" s="197"/>
      <c r="BU16" s="197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  <c r="DA16" s="197"/>
      <c r="DB16" s="197"/>
      <c r="DC16" s="197"/>
      <c r="DD16" s="197"/>
      <c r="DE16" s="197"/>
      <c r="DF16" s="197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97"/>
      <c r="EA16" s="197"/>
      <c r="EB16" s="197"/>
      <c r="EC16" s="197"/>
      <c r="ED16" s="197"/>
      <c r="EE16" s="197"/>
      <c r="EF16" s="197"/>
      <c r="EG16" s="197"/>
      <c r="EH16" s="197"/>
      <c r="EI16" s="197"/>
      <c r="EJ16" s="197"/>
      <c r="EK16" s="197"/>
      <c r="EL16" s="197"/>
      <c r="EM16" s="197"/>
      <c r="EN16" s="197"/>
      <c r="EO16" s="197"/>
      <c r="EP16" s="197"/>
      <c r="EQ16" s="197"/>
      <c r="ER16" s="197"/>
      <c r="ES16" s="197"/>
      <c r="ET16" s="197"/>
      <c r="EU16" s="197"/>
      <c r="EV16" s="197"/>
      <c r="EW16" s="197"/>
      <c r="EX16" s="197"/>
      <c r="EY16" s="197"/>
      <c r="EZ16" s="197"/>
      <c r="FA16" s="197"/>
      <c r="FB16" s="197"/>
      <c r="FC16" s="197"/>
      <c r="FD16" s="197"/>
      <c r="FE16" s="197"/>
      <c r="FF16" s="197"/>
      <c r="FG16" s="197"/>
      <c r="FH16" s="197"/>
      <c r="FI16" s="197"/>
      <c r="FJ16" s="197"/>
      <c r="FK16" s="197"/>
      <c r="FL16" s="197"/>
      <c r="FM16" s="197"/>
      <c r="FN16" s="197"/>
      <c r="FO16" s="197"/>
      <c r="FP16" s="197"/>
      <c r="FQ16" s="197"/>
      <c r="FR16" s="197"/>
      <c r="FS16" s="197"/>
      <c r="FT16" s="197"/>
      <c r="FU16" s="197"/>
      <c r="FV16" s="197"/>
      <c r="FW16" s="197"/>
      <c r="FX16" s="197"/>
      <c r="FY16" s="197"/>
      <c r="FZ16" s="197"/>
    </row>
    <row r="17" spans="6:182" s="153" customFormat="1" ht="0.75" customHeight="1">
      <c r="F17" s="154"/>
      <c r="G17" s="154"/>
      <c r="H17" s="154"/>
      <c r="I17" s="154"/>
      <c r="J17" s="154"/>
      <c r="K17" s="154"/>
      <c r="L17" s="154"/>
      <c r="M17" s="15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 s="197"/>
      <c r="BS17" s="197"/>
      <c r="BT17" s="197"/>
      <c r="BU17" s="197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197"/>
      <c r="DD17" s="197"/>
      <c r="DE17" s="197"/>
      <c r="DF17" s="197"/>
      <c r="DG17" s="197"/>
      <c r="DH17" s="197"/>
      <c r="DI17" s="197"/>
      <c r="DJ17" s="197"/>
      <c r="DK17" s="197"/>
      <c r="DL17" s="197"/>
      <c r="DM17" s="197"/>
      <c r="DN17" s="197"/>
      <c r="DO17" s="197"/>
      <c r="DP17" s="197"/>
      <c r="DQ17" s="197"/>
      <c r="DR17" s="197"/>
      <c r="DS17" s="197"/>
      <c r="DT17" s="197"/>
      <c r="DU17" s="197"/>
      <c r="DV17" s="197"/>
      <c r="DW17" s="197"/>
      <c r="DX17" s="197"/>
      <c r="DY17" s="197"/>
      <c r="DZ17" s="197"/>
      <c r="EA17" s="197"/>
      <c r="EB17" s="197"/>
      <c r="EC17" s="197"/>
      <c r="ED17" s="197"/>
      <c r="EE17" s="197"/>
      <c r="EF17" s="197"/>
      <c r="EG17" s="197"/>
      <c r="EH17" s="197"/>
      <c r="EI17" s="197"/>
      <c r="EJ17" s="197"/>
      <c r="EK17" s="197"/>
      <c r="EL17" s="197"/>
      <c r="EM17" s="197"/>
      <c r="EN17" s="197"/>
      <c r="EO17" s="197"/>
      <c r="EP17" s="197"/>
      <c r="EQ17" s="197"/>
      <c r="ER17" s="197"/>
      <c r="ES17" s="197"/>
      <c r="ET17" s="197"/>
      <c r="EU17" s="197"/>
      <c r="EV17" s="197"/>
      <c r="EW17" s="197"/>
      <c r="EX17" s="197"/>
      <c r="EY17" s="197"/>
      <c r="EZ17" s="197"/>
      <c r="FA17" s="197"/>
      <c r="FB17" s="197"/>
      <c r="FC17" s="197"/>
      <c r="FD17" s="197"/>
      <c r="FE17" s="197"/>
      <c r="FF17" s="197"/>
      <c r="FG17" s="197"/>
      <c r="FH17" s="197"/>
      <c r="FI17" s="197"/>
      <c r="FJ17" s="197"/>
      <c r="FK17" s="197"/>
      <c r="FL17" s="197"/>
      <c r="FM17" s="197"/>
      <c r="FN17" s="197"/>
      <c r="FO17" s="197"/>
      <c r="FP17" s="197"/>
      <c r="FQ17" s="197"/>
      <c r="FR17" s="197"/>
      <c r="FS17" s="197"/>
      <c r="FT17" s="197"/>
      <c r="FU17" s="197"/>
      <c r="FV17" s="197"/>
      <c r="FW17" s="197"/>
      <c r="FX17" s="197"/>
      <c r="FY17" s="197"/>
      <c r="FZ17" s="197"/>
    </row>
    <row r="18" spans="6:182" s="153" customFormat="1" ht="0.75" customHeight="1">
      <c r="F18" s="154"/>
      <c r="G18" s="154"/>
      <c r="H18" s="154"/>
      <c r="I18" s="154"/>
      <c r="J18" s="154"/>
      <c r="K18" s="154"/>
      <c r="L18" s="154"/>
      <c r="M18" s="154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 s="197"/>
      <c r="BS18" s="197"/>
      <c r="BT18" s="197"/>
      <c r="BU18" s="197"/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97"/>
      <c r="CZ18" s="197"/>
      <c r="DA18" s="197"/>
      <c r="DB18" s="197"/>
      <c r="DC18" s="197"/>
      <c r="DD18" s="197"/>
      <c r="DE18" s="197"/>
      <c r="DF18" s="197"/>
      <c r="DG18" s="197"/>
      <c r="DH18" s="197"/>
      <c r="DI18" s="197"/>
      <c r="DJ18" s="197"/>
      <c r="DK18" s="197"/>
      <c r="DL18" s="197"/>
      <c r="DM18" s="197"/>
      <c r="DN18" s="197"/>
      <c r="DO18" s="197"/>
      <c r="DP18" s="197"/>
      <c r="DQ18" s="197"/>
      <c r="DR18" s="197"/>
      <c r="DS18" s="197"/>
      <c r="DT18" s="197"/>
      <c r="DU18" s="197"/>
      <c r="DV18" s="197"/>
      <c r="DW18" s="197"/>
      <c r="DX18" s="197"/>
      <c r="DY18" s="197"/>
      <c r="DZ18" s="197"/>
      <c r="EA18" s="197"/>
      <c r="EB18" s="197"/>
      <c r="EC18" s="197"/>
      <c r="ED18" s="197"/>
      <c r="EE18" s="197"/>
      <c r="EF18" s="197"/>
      <c r="EG18" s="197"/>
      <c r="EH18" s="197"/>
      <c r="EI18" s="197"/>
      <c r="EJ18" s="197"/>
      <c r="EK18" s="197"/>
      <c r="EL18" s="197"/>
      <c r="EM18" s="197"/>
      <c r="EN18" s="197"/>
      <c r="EO18" s="197"/>
      <c r="EP18" s="197"/>
      <c r="EQ18" s="197"/>
      <c r="ER18" s="197"/>
      <c r="ES18" s="197"/>
      <c r="ET18" s="197"/>
      <c r="EU18" s="197"/>
      <c r="EV18" s="197"/>
      <c r="EW18" s="197"/>
      <c r="EX18" s="197"/>
      <c r="EY18" s="197"/>
      <c r="EZ18" s="197"/>
      <c r="FA18" s="197"/>
      <c r="FB18" s="197"/>
      <c r="FC18" s="197"/>
      <c r="FD18" s="197"/>
      <c r="FE18" s="197"/>
      <c r="FF18" s="197"/>
      <c r="FG18" s="197"/>
      <c r="FH18" s="197"/>
      <c r="FI18" s="197"/>
      <c r="FJ18" s="197"/>
      <c r="FK18" s="197"/>
      <c r="FL18" s="197"/>
      <c r="FM18" s="197"/>
      <c r="FN18" s="197"/>
      <c r="FO18" s="197"/>
      <c r="FP18" s="197"/>
      <c r="FQ18" s="197"/>
      <c r="FR18" s="197"/>
      <c r="FS18" s="197"/>
      <c r="FT18" s="197"/>
      <c r="FU18" s="197"/>
      <c r="FV18" s="197"/>
      <c r="FW18" s="197"/>
      <c r="FX18" s="197"/>
      <c r="FY18" s="197"/>
      <c r="FZ18" s="197"/>
    </row>
    <row r="19" spans="6:182" s="153" customFormat="1" ht="0.75" customHeight="1">
      <c r="F19" s="154"/>
      <c r="G19" s="154"/>
      <c r="H19" s="154"/>
      <c r="I19" s="154"/>
      <c r="J19" s="154"/>
      <c r="K19" s="154"/>
      <c r="L19" s="154"/>
      <c r="M19" s="154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7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DW19" s="197"/>
      <c r="DX19" s="197"/>
      <c r="DY19" s="197"/>
      <c r="DZ19" s="197"/>
      <c r="EA19" s="197"/>
      <c r="EB19" s="197"/>
      <c r="EC19" s="197"/>
      <c r="ED19" s="197"/>
      <c r="EE19" s="197"/>
      <c r="EF19" s="197"/>
      <c r="EG19" s="197"/>
      <c r="EH19" s="197"/>
      <c r="EI19" s="197"/>
      <c r="EJ19" s="197"/>
      <c r="EK19" s="197"/>
      <c r="EL19" s="197"/>
      <c r="EM19" s="197"/>
      <c r="EN19" s="197"/>
      <c r="EO19" s="197"/>
      <c r="EP19" s="197"/>
      <c r="EQ19" s="197"/>
      <c r="ER19" s="197"/>
      <c r="ES19" s="197"/>
      <c r="ET19" s="197"/>
      <c r="EU19" s="197"/>
      <c r="EV19" s="197"/>
      <c r="EW19" s="197"/>
      <c r="EX19" s="197"/>
      <c r="EY19" s="197"/>
      <c r="EZ19" s="197"/>
      <c r="FA19" s="197"/>
      <c r="FB19" s="197"/>
      <c r="FC19" s="197"/>
      <c r="FD19" s="197"/>
      <c r="FE19" s="197"/>
      <c r="FF19" s="197"/>
      <c r="FG19" s="197"/>
      <c r="FH19" s="197"/>
      <c r="FI19" s="197"/>
      <c r="FJ19" s="197"/>
      <c r="FK19" s="197"/>
      <c r="FL19" s="197"/>
      <c r="FM19" s="197"/>
      <c r="FN19" s="197"/>
      <c r="FO19" s="197"/>
      <c r="FP19" s="197"/>
      <c r="FQ19" s="197"/>
      <c r="FR19" s="197"/>
      <c r="FS19" s="197"/>
      <c r="FT19" s="197"/>
      <c r="FU19" s="197"/>
      <c r="FV19" s="197"/>
      <c r="FW19" s="197"/>
      <c r="FX19" s="197"/>
      <c r="FY19" s="197"/>
      <c r="FZ19" s="197"/>
    </row>
    <row r="20" spans="6:182" s="153" customFormat="1" ht="0.75" customHeight="1">
      <c r="F20" s="154"/>
      <c r="G20" s="154"/>
      <c r="H20" s="154"/>
      <c r="I20" s="154"/>
      <c r="J20" s="154"/>
      <c r="K20" s="154"/>
      <c r="L20" s="154"/>
      <c r="M20" s="154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 s="197"/>
      <c r="BS20" s="197"/>
      <c r="BT20" s="197"/>
      <c r="BU20" s="197"/>
      <c r="BV20" s="197"/>
      <c r="BW20" s="197"/>
      <c r="BX20" s="197"/>
      <c r="BY20" s="197"/>
      <c r="BZ20" s="197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97"/>
      <c r="CZ20" s="197"/>
      <c r="DA20" s="197"/>
      <c r="DB20" s="197"/>
      <c r="DC20" s="197"/>
      <c r="DD20" s="197"/>
      <c r="DE20" s="197"/>
      <c r="DF20" s="197"/>
      <c r="DG20" s="197"/>
      <c r="DH20" s="197"/>
      <c r="DI20" s="197"/>
      <c r="DJ20" s="197"/>
      <c r="DK20" s="197"/>
      <c r="DL20" s="197"/>
      <c r="DM20" s="197"/>
      <c r="DN20" s="197"/>
      <c r="DO20" s="197"/>
      <c r="DP20" s="197"/>
      <c r="DQ20" s="197"/>
      <c r="DR20" s="197"/>
      <c r="DS20" s="197"/>
      <c r="DT20" s="197"/>
      <c r="DU20" s="197"/>
      <c r="DV20" s="197"/>
      <c r="DW20" s="197"/>
      <c r="DX20" s="197"/>
      <c r="DY20" s="197"/>
      <c r="DZ20" s="197"/>
      <c r="EA20" s="197"/>
      <c r="EB20" s="197"/>
      <c r="EC20" s="197"/>
      <c r="ED20" s="197"/>
      <c r="EE20" s="197"/>
      <c r="EF20" s="197"/>
      <c r="EG20" s="197"/>
      <c r="EH20" s="197"/>
      <c r="EI20" s="197"/>
      <c r="EJ20" s="197"/>
      <c r="EK20" s="197"/>
      <c r="EL20" s="197"/>
      <c r="EM20" s="197"/>
      <c r="EN20" s="197"/>
      <c r="EO20" s="197"/>
      <c r="EP20" s="197"/>
      <c r="EQ20" s="197"/>
      <c r="ER20" s="197"/>
      <c r="ES20" s="197"/>
      <c r="ET20" s="197"/>
      <c r="EU20" s="197"/>
      <c r="EV20" s="197"/>
      <c r="EW20" s="197"/>
      <c r="EX20" s="197"/>
      <c r="EY20" s="197"/>
      <c r="EZ20" s="197"/>
      <c r="FA20" s="197"/>
      <c r="FB20" s="197"/>
      <c r="FC20" s="197"/>
      <c r="FD20" s="197"/>
      <c r="FE20" s="197"/>
      <c r="FF20" s="197"/>
      <c r="FG20" s="197"/>
      <c r="FH20" s="197"/>
      <c r="FI20" s="197"/>
      <c r="FJ20" s="197"/>
      <c r="FK20" s="197"/>
      <c r="FL20" s="197"/>
      <c r="FM20" s="197"/>
      <c r="FN20" s="197"/>
      <c r="FO20" s="197"/>
      <c r="FP20" s="197"/>
      <c r="FQ20" s="197"/>
      <c r="FR20" s="197"/>
      <c r="FS20" s="197"/>
      <c r="FT20" s="197"/>
      <c r="FU20" s="197"/>
      <c r="FV20" s="197"/>
      <c r="FW20" s="197"/>
      <c r="FX20" s="197"/>
      <c r="FY20" s="197"/>
      <c r="FZ20" s="197"/>
    </row>
    <row r="21" spans="6:182" s="153" customFormat="1" ht="0.75" customHeight="1">
      <c r="F21" s="154"/>
      <c r="G21" s="154"/>
      <c r="H21" s="154"/>
      <c r="I21" s="154"/>
      <c r="J21" s="154"/>
      <c r="K21" s="154"/>
      <c r="L21" s="154"/>
      <c r="M21" s="154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 s="197"/>
      <c r="BS21" s="197"/>
      <c r="BT21" s="197"/>
      <c r="BU21" s="197"/>
      <c r="BV21" s="197"/>
      <c r="BW21" s="197"/>
      <c r="BX21" s="197"/>
      <c r="BY21" s="197"/>
      <c r="BZ21" s="197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197"/>
      <c r="CW21" s="197"/>
      <c r="CX21" s="197"/>
      <c r="CY21" s="197"/>
      <c r="CZ21" s="197"/>
      <c r="DA21" s="197"/>
      <c r="DB21" s="197"/>
      <c r="DC21" s="197"/>
      <c r="DD21" s="197"/>
      <c r="DE21" s="197"/>
      <c r="DF21" s="197"/>
      <c r="DG21" s="197"/>
      <c r="DH21" s="197"/>
      <c r="DI21" s="197"/>
      <c r="DJ21" s="197"/>
      <c r="DK21" s="197"/>
      <c r="DL21" s="197"/>
      <c r="DM21" s="197"/>
      <c r="DN21" s="197"/>
      <c r="DO21" s="197"/>
      <c r="DP21" s="197"/>
      <c r="DQ21" s="197"/>
      <c r="DR21" s="197"/>
      <c r="DS21" s="197"/>
      <c r="DT21" s="197"/>
      <c r="DU21" s="197"/>
      <c r="DV21" s="197"/>
      <c r="DW21" s="197"/>
      <c r="DX21" s="197"/>
      <c r="DY21" s="197"/>
      <c r="DZ21" s="197"/>
      <c r="EA21" s="197"/>
      <c r="EB21" s="197"/>
      <c r="EC21" s="197"/>
      <c r="ED21" s="197"/>
      <c r="EE21" s="197"/>
      <c r="EF21" s="197"/>
      <c r="EG21" s="197"/>
      <c r="EH21" s="197"/>
      <c r="EI21" s="197"/>
      <c r="EJ21" s="197"/>
      <c r="EK21" s="197"/>
      <c r="EL21" s="197"/>
      <c r="EM21" s="197"/>
      <c r="EN21" s="197"/>
      <c r="EO21" s="197"/>
      <c r="EP21" s="197"/>
      <c r="EQ21" s="197"/>
      <c r="ER21" s="197"/>
      <c r="ES21" s="197"/>
      <c r="ET21" s="197"/>
      <c r="EU21" s="197"/>
      <c r="EV21" s="197"/>
      <c r="EW21" s="197"/>
      <c r="EX21" s="197"/>
      <c r="EY21" s="197"/>
      <c r="EZ21" s="197"/>
      <c r="FA21" s="197"/>
      <c r="FB21" s="197"/>
      <c r="FC21" s="197"/>
      <c r="FD21" s="197"/>
      <c r="FE21" s="197"/>
      <c r="FF21" s="197"/>
      <c r="FG21" s="197"/>
      <c r="FH21" s="197"/>
      <c r="FI21" s="197"/>
      <c r="FJ21" s="197"/>
      <c r="FK21" s="197"/>
      <c r="FL21" s="197"/>
      <c r="FM21" s="197"/>
      <c r="FN21" s="197"/>
      <c r="FO21" s="197"/>
      <c r="FP21" s="197"/>
      <c r="FQ21" s="197"/>
      <c r="FR21" s="197"/>
      <c r="FS21" s="197"/>
      <c r="FT21" s="197"/>
      <c r="FU21" s="197"/>
      <c r="FV21" s="197"/>
      <c r="FW21" s="197"/>
      <c r="FX21" s="197"/>
      <c r="FY21" s="197"/>
      <c r="FZ21" s="197"/>
    </row>
    <row r="22" spans="6:182" s="153" customFormat="1" ht="0.75" customHeight="1">
      <c r="F22" s="154"/>
      <c r="G22" s="154"/>
      <c r="H22" s="154"/>
      <c r="I22" s="154"/>
      <c r="J22" s="154"/>
      <c r="K22" s="154"/>
      <c r="L22" s="154"/>
      <c r="M22" s="154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 s="197"/>
      <c r="BS22" s="197"/>
      <c r="BT22" s="197"/>
      <c r="BU22" s="197"/>
      <c r="BV22" s="197"/>
      <c r="BW22" s="197"/>
      <c r="BX22" s="197"/>
      <c r="BY22" s="197"/>
      <c r="BZ22" s="197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97"/>
      <c r="CZ22" s="197"/>
      <c r="DA22" s="197"/>
      <c r="DB22" s="197"/>
      <c r="DC22" s="197"/>
      <c r="DD22" s="197"/>
      <c r="DE22" s="197"/>
      <c r="DF22" s="197"/>
      <c r="DG22" s="197"/>
      <c r="DH22" s="197"/>
      <c r="DI22" s="197"/>
      <c r="DJ22" s="197"/>
      <c r="DK22" s="197"/>
      <c r="DL22" s="197"/>
      <c r="DM22" s="197"/>
      <c r="DN22" s="197"/>
      <c r="DO22" s="197"/>
      <c r="DP22" s="197"/>
      <c r="DQ22" s="197"/>
      <c r="DR22" s="197"/>
      <c r="DS22" s="197"/>
      <c r="DT22" s="197"/>
      <c r="DU22" s="197"/>
      <c r="DV22" s="197"/>
      <c r="DW22" s="197"/>
      <c r="DX22" s="197"/>
      <c r="DY22" s="197"/>
      <c r="DZ22" s="197"/>
      <c r="EA22" s="197"/>
      <c r="EB22" s="197"/>
      <c r="EC22" s="197"/>
      <c r="ED22" s="197"/>
      <c r="EE22" s="197"/>
      <c r="EF22" s="197"/>
      <c r="EG22" s="197"/>
      <c r="EH22" s="197"/>
      <c r="EI22" s="197"/>
      <c r="EJ22" s="197"/>
      <c r="EK22" s="197"/>
      <c r="EL22" s="197"/>
      <c r="EM22" s="197"/>
      <c r="EN22" s="197"/>
      <c r="EO22" s="197"/>
      <c r="EP22" s="197"/>
      <c r="EQ22" s="197"/>
      <c r="ER22" s="197"/>
      <c r="ES22" s="197"/>
      <c r="ET22" s="197"/>
      <c r="EU22" s="197"/>
      <c r="EV22" s="197"/>
      <c r="EW22" s="197"/>
      <c r="EX22" s="197"/>
      <c r="EY22" s="197"/>
      <c r="EZ22" s="197"/>
      <c r="FA22" s="197"/>
      <c r="FB22" s="197"/>
      <c r="FC22" s="197"/>
      <c r="FD22" s="197"/>
      <c r="FE22" s="197"/>
      <c r="FF22" s="197"/>
      <c r="FG22" s="197"/>
      <c r="FH22" s="197"/>
      <c r="FI22" s="197"/>
      <c r="FJ22" s="197"/>
      <c r="FK22" s="197"/>
      <c r="FL22" s="197"/>
      <c r="FM22" s="197"/>
      <c r="FN22" s="197"/>
      <c r="FO22" s="197"/>
      <c r="FP22" s="197"/>
      <c r="FQ22" s="197"/>
      <c r="FR22" s="197"/>
      <c r="FS22" s="197"/>
      <c r="FT22" s="197"/>
      <c r="FU22" s="197"/>
      <c r="FV22" s="197"/>
      <c r="FW22" s="197"/>
      <c r="FX22" s="197"/>
      <c r="FY22" s="197"/>
      <c r="FZ22" s="197"/>
    </row>
    <row r="23" spans="6:182" s="153" customFormat="1" ht="0.75" customHeight="1">
      <c r="F23" s="154"/>
      <c r="G23" s="154"/>
      <c r="H23" s="154"/>
      <c r="I23" s="154"/>
      <c r="J23" s="154"/>
      <c r="K23" s="154"/>
      <c r="L23" s="154"/>
      <c r="M23" s="154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 s="197"/>
      <c r="BS23" s="197"/>
      <c r="BT23" s="197"/>
      <c r="BU23" s="197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197"/>
      <c r="CZ23" s="197"/>
      <c r="DA23" s="197"/>
      <c r="DB23" s="197"/>
      <c r="DC23" s="197"/>
      <c r="DD23" s="197"/>
      <c r="DE23" s="197"/>
      <c r="DF23" s="197"/>
      <c r="DG23" s="197"/>
      <c r="DH23" s="197"/>
      <c r="DI23" s="197"/>
      <c r="DJ23" s="197"/>
      <c r="DK23" s="197"/>
      <c r="DL23" s="197"/>
      <c r="DM23" s="197"/>
      <c r="DN23" s="197"/>
      <c r="DO23" s="197"/>
      <c r="DP23" s="197"/>
      <c r="DQ23" s="197"/>
      <c r="DR23" s="197"/>
      <c r="DS23" s="197"/>
      <c r="DT23" s="197"/>
      <c r="DU23" s="197"/>
      <c r="DV23" s="197"/>
      <c r="DW23" s="197"/>
      <c r="DX23" s="197"/>
      <c r="DY23" s="197"/>
      <c r="DZ23" s="197"/>
      <c r="EA23" s="197"/>
      <c r="EB23" s="197"/>
      <c r="EC23" s="197"/>
      <c r="ED23" s="197"/>
      <c r="EE23" s="197"/>
      <c r="EF23" s="197"/>
      <c r="EG23" s="197"/>
      <c r="EH23" s="197"/>
      <c r="EI23" s="197"/>
      <c r="EJ23" s="197"/>
      <c r="EK23" s="197"/>
      <c r="EL23" s="197"/>
      <c r="EM23" s="197"/>
      <c r="EN23" s="197"/>
      <c r="EO23" s="197"/>
      <c r="EP23" s="197"/>
      <c r="EQ23" s="197"/>
      <c r="ER23" s="197"/>
      <c r="ES23" s="197"/>
      <c r="ET23" s="197"/>
      <c r="EU23" s="197"/>
      <c r="EV23" s="197"/>
      <c r="EW23" s="197"/>
      <c r="EX23" s="197"/>
      <c r="EY23" s="197"/>
      <c r="EZ23" s="197"/>
      <c r="FA23" s="197"/>
      <c r="FB23" s="197"/>
      <c r="FC23" s="197"/>
      <c r="FD23" s="197"/>
      <c r="FE23" s="197"/>
      <c r="FF23" s="197"/>
      <c r="FG23" s="197"/>
      <c r="FH23" s="197"/>
      <c r="FI23" s="197"/>
      <c r="FJ23" s="197"/>
      <c r="FK23" s="197"/>
      <c r="FL23" s="197"/>
      <c r="FM23" s="197"/>
      <c r="FN23" s="197"/>
      <c r="FO23" s="197"/>
      <c r="FP23" s="197"/>
      <c r="FQ23" s="197"/>
      <c r="FR23" s="197"/>
      <c r="FS23" s="197"/>
      <c r="FT23" s="197"/>
      <c r="FU23" s="197"/>
      <c r="FV23" s="197"/>
      <c r="FW23" s="197"/>
      <c r="FX23" s="197"/>
      <c r="FY23" s="197"/>
      <c r="FZ23" s="197"/>
    </row>
    <row r="24" spans="6:182" s="153" customFormat="1" ht="0.75" customHeight="1"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5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 s="197"/>
      <c r="BS24" s="197"/>
      <c r="BT24" s="197"/>
      <c r="BU24" s="197"/>
      <c r="BV24" s="197"/>
      <c r="BW24" s="197"/>
      <c r="BX24" s="197"/>
      <c r="BY24" s="197"/>
      <c r="BZ24" s="197"/>
      <c r="CA24" s="197"/>
      <c r="CB24" s="197"/>
      <c r="CC24" s="197"/>
      <c r="CD24" s="197"/>
      <c r="CE24" s="197"/>
      <c r="CF24" s="197"/>
      <c r="CG24" s="197"/>
      <c r="CH24" s="197"/>
      <c r="CI24" s="197"/>
      <c r="CJ24" s="197"/>
      <c r="CK24" s="197"/>
      <c r="CL24" s="197"/>
      <c r="CM24" s="197"/>
      <c r="CN24" s="197"/>
      <c r="CO24" s="197"/>
      <c r="CP24" s="197"/>
      <c r="CQ24" s="197"/>
      <c r="CR24" s="197"/>
      <c r="CS24" s="197"/>
      <c r="CT24" s="197"/>
      <c r="CU24" s="197"/>
      <c r="CV24" s="197"/>
      <c r="CW24" s="197"/>
      <c r="CX24" s="197"/>
      <c r="CY24" s="197"/>
      <c r="CZ24" s="197"/>
      <c r="DA24" s="197"/>
      <c r="DB24" s="197"/>
      <c r="DC24" s="197"/>
      <c r="DD24" s="197"/>
      <c r="DE24" s="197"/>
      <c r="DF24" s="197"/>
      <c r="DG24" s="197"/>
      <c r="DH24" s="197"/>
      <c r="DI24" s="197"/>
      <c r="DJ24" s="197"/>
      <c r="DK24" s="197"/>
      <c r="DL24" s="197"/>
      <c r="DM24" s="197"/>
      <c r="DN24" s="197"/>
      <c r="DO24" s="197"/>
      <c r="DP24" s="197"/>
      <c r="DQ24" s="197"/>
      <c r="DR24" s="197"/>
      <c r="DS24" s="197"/>
      <c r="DT24" s="197"/>
      <c r="DU24" s="197"/>
      <c r="DV24" s="197"/>
      <c r="DW24" s="197"/>
      <c r="DX24" s="197"/>
      <c r="DY24" s="197"/>
      <c r="DZ24" s="197"/>
      <c r="EA24" s="197"/>
      <c r="EB24" s="197"/>
      <c r="EC24" s="197"/>
      <c r="ED24" s="197"/>
      <c r="EE24" s="197"/>
      <c r="EF24" s="197"/>
      <c r="EG24" s="197"/>
      <c r="EH24" s="197"/>
      <c r="EI24" s="197"/>
      <c r="EJ24" s="197"/>
      <c r="EK24" s="197"/>
      <c r="EL24" s="197"/>
      <c r="EM24" s="197"/>
      <c r="EN24" s="197"/>
      <c r="EO24" s="197"/>
      <c r="EP24" s="197"/>
      <c r="EQ24" s="197"/>
      <c r="ER24" s="197"/>
      <c r="ES24" s="197"/>
      <c r="ET24" s="197"/>
      <c r="EU24" s="197"/>
      <c r="EV24" s="197"/>
      <c r="EW24" s="197"/>
      <c r="EX24" s="197"/>
      <c r="EY24" s="197"/>
      <c r="EZ24" s="197"/>
      <c r="FA24" s="197"/>
      <c r="FB24" s="197"/>
      <c r="FC24" s="197"/>
      <c r="FD24" s="197"/>
      <c r="FE24" s="197"/>
      <c r="FF24" s="197"/>
      <c r="FG24" s="197"/>
      <c r="FH24" s="197"/>
      <c r="FI24" s="197"/>
      <c r="FJ24" s="197"/>
      <c r="FK24" s="197"/>
      <c r="FL24" s="197"/>
      <c r="FM24" s="197"/>
      <c r="FN24" s="197"/>
      <c r="FO24" s="197"/>
      <c r="FP24" s="197"/>
      <c r="FQ24" s="197"/>
      <c r="FR24" s="197"/>
      <c r="FS24" s="197"/>
      <c r="FT24" s="197"/>
      <c r="FU24" s="197"/>
      <c r="FV24" s="197"/>
      <c r="FW24" s="197"/>
      <c r="FX24" s="197"/>
      <c r="FY24" s="197"/>
      <c r="FZ24" s="197"/>
    </row>
    <row r="25" spans="6:182" s="153" customFormat="1" ht="0.75" customHeight="1"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 s="197"/>
      <c r="BS25" s="197"/>
      <c r="BT25" s="197"/>
      <c r="BU25" s="197"/>
      <c r="BV25" s="197"/>
      <c r="BW25" s="197"/>
      <c r="BX25" s="197"/>
      <c r="BY25" s="197"/>
      <c r="BZ25" s="197"/>
      <c r="CA25" s="197"/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  <c r="CN25" s="197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197"/>
      <c r="CZ25" s="197"/>
      <c r="DA25" s="197"/>
      <c r="DB25" s="197"/>
      <c r="DC25" s="197"/>
      <c r="DD25" s="197"/>
      <c r="DE25" s="197"/>
      <c r="DF25" s="197"/>
      <c r="DG25" s="197"/>
      <c r="DH25" s="197"/>
      <c r="DI25" s="197"/>
      <c r="DJ25" s="197"/>
      <c r="DK25" s="197"/>
      <c r="DL25" s="197"/>
      <c r="DM25" s="197"/>
      <c r="DN25" s="197"/>
      <c r="DO25" s="197"/>
      <c r="DP25" s="197"/>
      <c r="DQ25" s="197"/>
      <c r="DR25" s="197"/>
      <c r="DS25" s="197"/>
      <c r="DT25" s="197"/>
      <c r="DU25" s="197"/>
      <c r="DV25" s="197"/>
      <c r="DW25" s="197"/>
      <c r="DX25" s="197"/>
      <c r="DY25" s="197"/>
      <c r="DZ25" s="197"/>
      <c r="EA25" s="197"/>
      <c r="EB25" s="197"/>
      <c r="EC25" s="197"/>
      <c r="ED25" s="197"/>
      <c r="EE25" s="197"/>
      <c r="EF25" s="197"/>
      <c r="EG25" s="197"/>
      <c r="EH25" s="197"/>
      <c r="EI25" s="197"/>
      <c r="EJ25" s="197"/>
      <c r="EK25" s="197"/>
      <c r="EL25" s="197"/>
      <c r="EM25" s="197"/>
      <c r="EN25" s="197"/>
      <c r="EO25" s="197"/>
      <c r="EP25" s="197"/>
      <c r="EQ25" s="197"/>
      <c r="ER25" s="197"/>
      <c r="ES25" s="197"/>
      <c r="ET25" s="197"/>
      <c r="EU25" s="197"/>
      <c r="EV25" s="197"/>
      <c r="EW25" s="197"/>
      <c r="EX25" s="197"/>
      <c r="EY25" s="197"/>
      <c r="EZ25" s="197"/>
      <c r="FA25" s="197"/>
      <c r="FB25" s="197"/>
      <c r="FC25" s="197"/>
      <c r="FD25" s="197"/>
      <c r="FE25" s="197"/>
      <c r="FF25" s="197"/>
      <c r="FG25" s="197"/>
      <c r="FH25" s="197"/>
      <c r="FI25" s="197"/>
      <c r="FJ25" s="197"/>
      <c r="FK25" s="197"/>
      <c r="FL25" s="197"/>
      <c r="FM25" s="197"/>
      <c r="FN25" s="197"/>
      <c r="FO25" s="197"/>
      <c r="FP25" s="197"/>
      <c r="FQ25" s="197"/>
      <c r="FR25" s="197"/>
      <c r="FS25" s="197"/>
      <c r="FT25" s="197"/>
      <c r="FU25" s="197"/>
      <c r="FV25" s="197"/>
      <c r="FW25" s="197"/>
      <c r="FX25" s="197"/>
      <c r="FY25" s="197"/>
      <c r="FZ25" s="197"/>
    </row>
    <row r="26" spans="6:182" s="153" customFormat="1" ht="0.75" customHeight="1"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5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  <c r="DB26" s="197"/>
      <c r="DC26" s="197"/>
      <c r="DD26" s="197"/>
      <c r="DE26" s="197"/>
      <c r="DF26" s="197"/>
      <c r="DG26" s="197"/>
      <c r="DH26" s="197"/>
      <c r="DI26" s="197"/>
      <c r="DJ26" s="197"/>
      <c r="DK26" s="197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97"/>
      <c r="EA26" s="197"/>
      <c r="EB26" s="197"/>
      <c r="EC26" s="197"/>
      <c r="ED26" s="197"/>
      <c r="EE26" s="197"/>
      <c r="EF26" s="197"/>
      <c r="EG26" s="197"/>
      <c r="EH26" s="197"/>
      <c r="EI26" s="197"/>
      <c r="EJ26" s="197"/>
      <c r="EK26" s="197"/>
      <c r="EL26" s="197"/>
      <c r="EM26" s="197"/>
      <c r="EN26" s="197"/>
      <c r="EO26" s="197"/>
      <c r="EP26" s="197"/>
      <c r="EQ26" s="197"/>
      <c r="ER26" s="197"/>
      <c r="ES26" s="197"/>
      <c r="ET26" s="197"/>
      <c r="EU26" s="197"/>
      <c r="EV26" s="197"/>
      <c r="EW26" s="197"/>
      <c r="EX26" s="197"/>
      <c r="EY26" s="197"/>
      <c r="EZ26" s="197"/>
      <c r="FA26" s="197"/>
      <c r="FB26" s="197"/>
      <c r="FC26" s="197"/>
      <c r="FD26" s="197"/>
      <c r="FE26" s="197"/>
      <c r="FF26" s="197"/>
      <c r="FG26" s="197"/>
      <c r="FH26" s="197"/>
      <c r="FI26" s="197"/>
      <c r="FJ26" s="197"/>
      <c r="FK26" s="197"/>
      <c r="FL26" s="197"/>
      <c r="FM26" s="197"/>
      <c r="FN26" s="197"/>
      <c r="FO26" s="197"/>
      <c r="FP26" s="197"/>
      <c r="FQ26" s="197"/>
      <c r="FR26" s="197"/>
      <c r="FS26" s="197"/>
      <c r="FT26" s="197"/>
      <c r="FU26" s="197"/>
      <c r="FV26" s="197"/>
      <c r="FW26" s="197"/>
      <c r="FX26" s="197"/>
      <c r="FY26" s="197"/>
      <c r="FZ26" s="197"/>
    </row>
    <row r="27" spans="6:182" s="153" customFormat="1" ht="0.75" customHeight="1"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5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 s="197"/>
      <c r="BS27" s="197"/>
      <c r="BT27" s="197"/>
      <c r="BU27" s="197"/>
      <c r="BV27" s="197"/>
      <c r="BW27" s="197"/>
      <c r="BX27" s="197"/>
      <c r="BY27" s="197"/>
      <c r="BZ27" s="197"/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97"/>
      <c r="CZ27" s="197"/>
      <c r="DA27" s="197"/>
      <c r="DB27" s="197"/>
      <c r="DC27" s="197"/>
      <c r="DD27" s="197"/>
      <c r="DE27" s="197"/>
      <c r="DF27" s="197"/>
      <c r="DG27" s="197"/>
      <c r="DH27" s="197"/>
      <c r="DI27" s="197"/>
      <c r="DJ27" s="197"/>
      <c r="DK27" s="197"/>
      <c r="DL27" s="197"/>
      <c r="DM27" s="197"/>
      <c r="DN27" s="197"/>
      <c r="DO27" s="197"/>
      <c r="DP27" s="197"/>
      <c r="DQ27" s="197"/>
      <c r="DR27" s="197"/>
      <c r="DS27" s="197"/>
      <c r="DT27" s="197"/>
      <c r="DU27" s="197"/>
      <c r="DV27" s="197"/>
      <c r="DW27" s="197"/>
      <c r="DX27" s="197"/>
      <c r="DY27" s="197"/>
      <c r="DZ27" s="197"/>
      <c r="EA27" s="197"/>
      <c r="EB27" s="197"/>
      <c r="EC27" s="197"/>
      <c r="ED27" s="197"/>
      <c r="EE27" s="197"/>
      <c r="EF27" s="197"/>
      <c r="EG27" s="197"/>
      <c r="EH27" s="197"/>
      <c r="EI27" s="197"/>
      <c r="EJ27" s="197"/>
      <c r="EK27" s="197"/>
      <c r="EL27" s="197"/>
      <c r="EM27" s="197"/>
      <c r="EN27" s="197"/>
      <c r="EO27" s="197"/>
      <c r="EP27" s="197"/>
      <c r="EQ27" s="197"/>
      <c r="ER27" s="197"/>
      <c r="ES27" s="197"/>
      <c r="ET27" s="197"/>
      <c r="EU27" s="197"/>
      <c r="EV27" s="197"/>
      <c r="EW27" s="197"/>
      <c r="EX27" s="197"/>
      <c r="EY27" s="197"/>
      <c r="EZ27" s="197"/>
      <c r="FA27" s="197"/>
      <c r="FB27" s="197"/>
      <c r="FC27" s="197"/>
      <c r="FD27" s="197"/>
      <c r="FE27" s="197"/>
      <c r="FF27" s="197"/>
      <c r="FG27" s="197"/>
      <c r="FH27" s="197"/>
      <c r="FI27" s="197"/>
      <c r="FJ27" s="197"/>
      <c r="FK27" s="197"/>
      <c r="FL27" s="197"/>
      <c r="FM27" s="197"/>
      <c r="FN27" s="197"/>
      <c r="FO27" s="197"/>
      <c r="FP27" s="197"/>
      <c r="FQ27" s="197"/>
      <c r="FR27" s="197"/>
      <c r="FS27" s="197"/>
      <c r="FT27" s="197"/>
      <c r="FU27" s="197"/>
      <c r="FV27" s="197"/>
      <c r="FW27" s="197"/>
      <c r="FX27" s="197"/>
      <c r="FY27" s="197"/>
      <c r="FZ27" s="197"/>
    </row>
    <row r="28" spans="6:182" s="153" customFormat="1" ht="0.75" customHeight="1"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5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 s="197"/>
      <c r="BS28" s="197"/>
      <c r="BT28" s="197"/>
      <c r="BU28" s="197"/>
      <c r="BV28" s="197"/>
      <c r="BW28" s="197"/>
      <c r="BX28" s="197"/>
      <c r="BY28" s="197"/>
      <c r="BZ28" s="197"/>
      <c r="CA28" s="197"/>
      <c r="CB28" s="197"/>
      <c r="CC28" s="197"/>
      <c r="CD28" s="197"/>
      <c r="CE28" s="197"/>
      <c r="CF28" s="197"/>
      <c r="CG28" s="197"/>
      <c r="CH28" s="197"/>
      <c r="CI28" s="197"/>
      <c r="CJ28" s="197"/>
      <c r="CK28" s="197"/>
      <c r="CL28" s="197"/>
      <c r="CM28" s="197"/>
      <c r="CN28" s="197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197"/>
      <c r="CZ28" s="197"/>
      <c r="DA28" s="197"/>
      <c r="DB28" s="197"/>
      <c r="DC28" s="197"/>
      <c r="DD28" s="197"/>
      <c r="DE28" s="197"/>
      <c r="DF28" s="197"/>
      <c r="DG28" s="197"/>
      <c r="DH28" s="197"/>
      <c r="DI28" s="197"/>
      <c r="DJ28" s="197"/>
      <c r="DK28" s="197"/>
      <c r="DL28" s="197"/>
      <c r="DM28" s="197"/>
      <c r="DN28" s="197"/>
      <c r="DO28" s="197"/>
      <c r="DP28" s="197"/>
      <c r="DQ28" s="197"/>
      <c r="DR28" s="197"/>
      <c r="DS28" s="197"/>
      <c r="DT28" s="197"/>
      <c r="DU28" s="197"/>
      <c r="DV28" s="197"/>
      <c r="DW28" s="197"/>
      <c r="DX28" s="197"/>
      <c r="DY28" s="197"/>
      <c r="DZ28" s="197"/>
      <c r="EA28" s="197"/>
      <c r="EB28" s="197"/>
      <c r="EC28" s="197"/>
      <c r="ED28" s="197"/>
      <c r="EE28" s="197"/>
      <c r="EF28" s="197"/>
      <c r="EG28" s="197"/>
      <c r="EH28" s="197"/>
      <c r="EI28" s="197"/>
      <c r="EJ28" s="197"/>
      <c r="EK28" s="197"/>
      <c r="EL28" s="197"/>
      <c r="EM28" s="197"/>
      <c r="EN28" s="197"/>
      <c r="EO28" s="197"/>
      <c r="EP28" s="197"/>
      <c r="EQ28" s="197"/>
      <c r="ER28" s="197"/>
      <c r="ES28" s="197"/>
      <c r="ET28" s="197"/>
      <c r="EU28" s="197"/>
      <c r="EV28" s="197"/>
      <c r="EW28" s="197"/>
      <c r="EX28" s="197"/>
      <c r="EY28" s="197"/>
      <c r="EZ28" s="197"/>
      <c r="FA28" s="197"/>
      <c r="FB28" s="197"/>
      <c r="FC28" s="197"/>
      <c r="FD28" s="197"/>
      <c r="FE28" s="197"/>
      <c r="FF28" s="197"/>
      <c r="FG28" s="197"/>
      <c r="FH28" s="197"/>
      <c r="FI28" s="197"/>
      <c r="FJ28" s="197"/>
      <c r="FK28" s="197"/>
      <c r="FL28" s="197"/>
      <c r="FM28" s="197"/>
      <c r="FN28" s="197"/>
      <c r="FO28" s="197"/>
      <c r="FP28" s="197"/>
      <c r="FQ28" s="197"/>
      <c r="FR28" s="197"/>
      <c r="FS28" s="197"/>
      <c r="FT28" s="197"/>
      <c r="FU28" s="197"/>
      <c r="FV28" s="197"/>
      <c r="FW28" s="197"/>
      <c r="FX28" s="197"/>
      <c r="FY28" s="197"/>
      <c r="FZ28" s="197"/>
    </row>
    <row r="29" spans="6:182" s="153" customFormat="1" ht="0.75" customHeight="1"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5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 s="197"/>
      <c r="BS29" s="197"/>
      <c r="BT29" s="197"/>
      <c r="BU29" s="197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97"/>
      <c r="CZ29" s="197"/>
      <c r="DA29" s="197"/>
      <c r="DB29" s="197"/>
      <c r="DC29" s="197"/>
      <c r="DD29" s="197"/>
      <c r="DE29" s="197"/>
      <c r="DF29" s="197"/>
      <c r="DG29" s="197"/>
      <c r="DH29" s="197"/>
      <c r="DI29" s="197"/>
      <c r="DJ29" s="197"/>
      <c r="DK29" s="197"/>
      <c r="DL29" s="197"/>
      <c r="DM29" s="197"/>
      <c r="DN29" s="197"/>
      <c r="DO29" s="197"/>
      <c r="DP29" s="197"/>
      <c r="DQ29" s="197"/>
      <c r="DR29" s="197"/>
      <c r="DS29" s="197"/>
      <c r="DT29" s="197"/>
      <c r="DU29" s="197"/>
      <c r="DV29" s="197"/>
      <c r="DW29" s="197"/>
      <c r="DX29" s="197"/>
      <c r="DY29" s="197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  <c r="EJ29" s="197"/>
      <c r="EK29" s="197"/>
      <c r="EL29" s="197"/>
      <c r="EM29" s="197"/>
      <c r="EN29" s="197"/>
      <c r="EO29" s="197"/>
      <c r="EP29" s="197"/>
      <c r="EQ29" s="197"/>
      <c r="ER29" s="197"/>
      <c r="ES29" s="197"/>
      <c r="ET29" s="197"/>
      <c r="EU29" s="197"/>
      <c r="EV29" s="197"/>
      <c r="EW29" s="197"/>
      <c r="EX29" s="197"/>
      <c r="EY29" s="197"/>
      <c r="EZ29" s="197"/>
      <c r="FA29" s="197"/>
      <c r="FB29" s="197"/>
      <c r="FC29" s="197"/>
      <c r="FD29" s="197"/>
      <c r="FE29" s="197"/>
      <c r="FF29" s="197"/>
      <c r="FG29" s="197"/>
      <c r="FH29" s="197"/>
      <c r="FI29" s="197"/>
      <c r="FJ29" s="197"/>
      <c r="FK29" s="197"/>
      <c r="FL29" s="197"/>
      <c r="FM29" s="197"/>
      <c r="FN29" s="197"/>
      <c r="FO29" s="197"/>
      <c r="FP29" s="197"/>
      <c r="FQ29" s="197"/>
      <c r="FR29" s="197"/>
      <c r="FS29" s="197"/>
      <c r="FT29" s="197"/>
      <c r="FU29" s="197"/>
      <c r="FV29" s="197"/>
      <c r="FW29" s="197"/>
      <c r="FX29" s="197"/>
      <c r="FY29" s="197"/>
      <c r="FZ29" s="197"/>
    </row>
    <row r="30" spans="6:182" s="153" customFormat="1" ht="0.75" customHeight="1"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5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 s="197"/>
      <c r="BS30" s="197"/>
      <c r="BT30" s="197"/>
      <c r="BU30" s="197"/>
      <c r="BV30" s="197"/>
      <c r="BW30" s="197"/>
      <c r="BX30" s="197"/>
      <c r="BY30" s="197"/>
      <c r="BZ30" s="197"/>
      <c r="CA30" s="197"/>
      <c r="CB30" s="197"/>
      <c r="CC30" s="197"/>
      <c r="CD30" s="197"/>
      <c r="CE30" s="197"/>
      <c r="CF30" s="197"/>
      <c r="CG30" s="197"/>
      <c r="CH30" s="197"/>
      <c r="CI30" s="197"/>
      <c r="CJ30" s="197"/>
      <c r="CK30" s="197"/>
      <c r="CL30" s="197"/>
      <c r="CM30" s="197"/>
      <c r="CN30" s="197"/>
      <c r="CO30" s="197"/>
      <c r="CP30" s="197"/>
      <c r="CQ30" s="197"/>
      <c r="CR30" s="197"/>
      <c r="CS30" s="197"/>
      <c r="CT30" s="197"/>
      <c r="CU30" s="197"/>
      <c r="CV30" s="197"/>
      <c r="CW30" s="197"/>
      <c r="CX30" s="197"/>
      <c r="CY30" s="197"/>
      <c r="CZ30" s="197"/>
      <c r="DA30" s="197"/>
      <c r="DB30" s="197"/>
      <c r="DC30" s="197"/>
      <c r="DD30" s="197"/>
      <c r="DE30" s="197"/>
      <c r="DF30" s="197"/>
      <c r="DG30" s="197"/>
      <c r="DH30" s="197"/>
      <c r="DI30" s="197"/>
      <c r="DJ30" s="197"/>
      <c r="DK30" s="197"/>
      <c r="DL30" s="197"/>
      <c r="DM30" s="197"/>
      <c r="DN30" s="197"/>
      <c r="DO30" s="197"/>
      <c r="DP30" s="197"/>
      <c r="DQ30" s="197"/>
      <c r="DR30" s="197"/>
      <c r="DS30" s="197"/>
      <c r="DT30" s="197"/>
      <c r="DU30" s="197"/>
      <c r="DV30" s="197"/>
      <c r="DW30" s="197"/>
      <c r="DX30" s="197"/>
      <c r="DY30" s="197"/>
      <c r="DZ30" s="197"/>
      <c r="EA30" s="197"/>
      <c r="EB30" s="197"/>
      <c r="EC30" s="197"/>
      <c r="ED30" s="197"/>
      <c r="EE30" s="197"/>
      <c r="EF30" s="197"/>
      <c r="EG30" s="197"/>
      <c r="EH30" s="197"/>
      <c r="EI30" s="197"/>
      <c r="EJ30" s="197"/>
      <c r="EK30" s="197"/>
      <c r="EL30" s="197"/>
      <c r="EM30" s="197"/>
      <c r="EN30" s="197"/>
      <c r="EO30" s="197"/>
      <c r="EP30" s="197"/>
      <c r="EQ30" s="197"/>
      <c r="ER30" s="197"/>
      <c r="ES30" s="197"/>
      <c r="ET30" s="197"/>
      <c r="EU30" s="197"/>
      <c r="EV30" s="197"/>
      <c r="EW30" s="197"/>
      <c r="EX30" s="197"/>
      <c r="EY30" s="197"/>
      <c r="EZ30" s="197"/>
      <c r="FA30" s="197"/>
      <c r="FB30" s="197"/>
      <c r="FC30" s="197"/>
      <c r="FD30" s="197"/>
      <c r="FE30" s="197"/>
      <c r="FF30" s="197"/>
      <c r="FG30" s="197"/>
      <c r="FH30" s="197"/>
      <c r="FI30" s="197"/>
      <c r="FJ30" s="197"/>
      <c r="FK30" s="197"/>
      <c r="FL30" s="197"/>
      <c r="FM30" s="197"/>
      <c r="FN30" s="197"/>
      <c r="FO30" s="197"/>
      <c r="FP30" s="197"/>
      <c r="FQ30" s="197"/>
      <c r="FR30" s="197"/>
      <c r="FS30" s="197"/>
      <c r="FT30" s="197"/>
      <c r="FU30" s="197"/>
      <c r="FV30" s="197"/>
      <c r="FW30" s="197"/>
      <c r="FX30" s="197"/>
      <c r="FY30" s="197"/>
      <c r="FZ30" s="197"/>
    </row>
    <row r="31" spans="6:182" s="153" customFormat="1" ht="0.75" customHeight="1"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5"/>
      <c r="AB31" s="157"/>
      <c r="AC31" s="158"/>
      <c r="AD31" s="159"/>
      <c r="AE31" s="159"/>
      <c r="AF31" s="159"/>
      <c r="AG31" s="159"/>
      <c r="AH31" s="159"/>
      <c r="AI31" s="159"/>
      <c r="AJ31" s="159"/>
      <c r="AK31" s="160"/>
      <c r="AL31" s="160"/>
      <c r="AM31" s="160"/>
      <c r="AN31" s="160"/>
      <c r="AO31" s="160"/>
      <c r="AP31" s="160"/>
      <c r="AQ31" s="147"/>
      <c r="AR31" s="147"/>
      <c r="AS31" s="160"/>
      <c r="AT31" s="160"/>
      <c r="AU31" s="160"/>
      <c r="AV31" s="160"/>
      <c r="AW31" s="147"/>
      <c r="AX31" s="147"/>
      <c r="AY31" s="147"/>
      <c r="AZ31" s="147"/>
      <c r="BA31" s="147"/>
      <c r="BB31" s="147"/>
      <c r="BC31" s="147"/>
      <c r="BD31" s="147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</row>
    <row r="32" spans="6:182" s="153" customFormat="1" ht="12" hidden="1" customHeight="1"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5"/>
      <c r="AB32" s="157"/>
      <c r="AC32" s="158"/>
      <c r="AD32" s="159"/>
      <c r="AE32" s="159"/>
      <c r="AF32" s="159"/>
      <c r="AG32" s="159"/>
      <c r="AH32" s="159"/>
      <c r="AI32" s="159"/>
      <c r="AJ32" s="159"/>
      <c r="AK32" s="160"/>
      <c r="AL32" s="160"/>
      <c r="AM32" s="160"/>
      <c r="AN32" s="160"/>
      <c r="AO32" s="160"/>
      <c r="AP32" s="160"/>
      <c r="AQ32" s="147"/>
      <c r="AR32" s="147"/>
      <c r="AS32" s="160"/>
      <c r="AT32" s="160"/>
      <c r="AU32" s="160"/>
      <c r="AV32" s="160"/>
      <c r="AW32" s="147"/>
      <c r="AX32" s="147"/>
      <c r="AY32" s="147"/>
      <c r="AZ32" s="147"/>
      <c r="BA32" s="147"/>
      <c r="BB32" s="147"/>
      <c r="BC32" s="147"/>
      <c r="BD32" s="147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  <c r="EN32" s="154"/>
      <c r="EO32" s="154"/>
      <c r="EP32" s="154"/>
      <c r="EQ32" s="154"/>
      <c r="ER32" s="154"/>
      <c r="ES32" s="154"/>
      <c r="ET32" s="154"/>
      <c r="EU32" s="154"/>
      <c r="EV32" s="154"/>
      <c r="EW32" s="154"/>
      <c r="EX32" s="154"/>
      <c r="EY32" s="154"/>
      <c r="EZ32" s="154"/>
      <c r="FA32" s="154"/>
      <c r="FB32" s="154"/>
      <c r="FC32" s="154"/>
      <c r="FD32" s="154"/>
      <c r="FE32" s="154"/>
      <c r="FF32" s="154"/>
      <c r="FG32" s="154"/>
      <c r="FH32" s="154"/>
      <c r="FI32" s="154"/>
      <c r="FJ32" s="154"/>
      <c r="FK32" s="154"/>
      <c r="FL32" s="154"/>
      <c r="FM32" s="154"/>
      <c r="FN32" s="154"/>
      <c r="FO32" s="154"/>
      <c r="FP32" s="154"/>
      <c r="FQ32" s="154"/>
      <c r="FR32" s="154"/>
      <c r="FS32" s="154"/>
      <c r="FT32" s="154"/>
      <c r="FU32" s="154"/>
      <c r="FV32" s="154"/>
      <c r="FW32" s="154"/>
      <c r="FX32" s="154"/>
      <c r="FY32" s="154"/>
      <c r="FZ32" s="154"/>
    </row>
    <row r="33" spans="5:187" s="153" customFormat="1" ht="12" hidden="1" customHeight="1"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5"/>
      <c r="AB33" s="157"/>
      <c r="AC33" s="158"/>
      <c r="AD33" s="159"/>
      <c r="AE33" s="159"/>
      <c r="AF33" s="159"/>
      <c r="AG33" s="159"/>
      <c r="AH33" s="159"/>
      <c r="AI33" s="159"/>
      <c r="AJ33" s="159"/>
      <c r="AK33" s="160"/>
      <c r="AL33" s="160"/>
      <c r="AM33" s="160"/>
      <c r="AN33" s="160"/>
      <c r="AO33" s="160"/>
      <c r="AP33" s="160"/>
      <c r="AQ33" s="147"/>
      <c r="AR33" s="147"/>
      <c r="AS33" s="160"/>
      <c r="AT33" s="160"/>
      <c r="AU33" s="160"/>
      <c r="AV33" s="160"/>
      <c r="AW33" s="147"/>
      <c r="AX33" s="147"/>
      <c r="AY33" s="147"/>
      <c r="AZ33" s="147"/>
      <c r="BA33" s="147"/>
      <c r="BB33" s="147"/>
      <c r="BC33" s="147"/>
      <c r="BD33" s="147"/>
      <c r="BE33" s="154"/>
      <c r="BF33" s="154"/>
      <c r="BG33" s="154"/>
      <c r="BH33" s="154"/>
      <c r="BI33" s="154"/>
      <c r="BJ33" s="154"/>
      <c r="BK33" s="154"/>
      <c r="BL33" s="154"/>
      <c r="BM33"/>
      <c r="BN33"/>
      <c r="BO33"/>
      <c r="BP33"/>
      <c r="BQ33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154"/>
      <c r="DJ33" s="154"/>
      <c r="DK33" s="154"/>
      <c r="DL33" s="154"/>
      <c r="DM33" s="154"/>
      <c r="DN33" s="154"/>
      <c r="DO33" s="154"/>
      <c r="DP33" s="154"/>
      <c r="DQ33" s="154"/>
      <c r="DR33" s="154"/>
      <c r="DS33" s="154"/>
      <c r="DT33" s="154"/>
      <c r="DU33" s="154"/>
      <c r="DV33" s="154"/>
      <c r="DW33" s="154"/>
      <c r="DX33" s="154"/>
      <c r="DY33" s="154"/>
      <c r="DZ33" s="154"/>
      <c r="EA33" s="154"/>
      <c r="EB33" s="154"/>
      <c r="EC33" s="154"/>
      <c r="ED33" s="154"/>
      <c r="EE33" s="154"/>
      <c r="EF33" s="154"/>
      <c r="EG33" s="154"/>
      <c r="EH33" s="154"/>
      <c r="EI33" s="154"/>
      <c r="EJ33" s="154"/>
      <c r="EK33" s="154"/>
      <c r="EL33" s="154"/>
      <c r="EM33" s="154"/>
      <c r="EN33" s="154"/>
      <c r="EO33" s="154"/>
      <c r="EP33" s="154"/>
      <c r="EQ33" s="154"/>
      <c r="ER33" s="154"/>
      <c r="ES33" s="154"/>
      <c r="ET33" s="154"/>
      <c r="EU33" s="154"/>
      <c r="EV33" s="154"/>
      <c r="EW33" s="154"/>
      <c r="EX33" s="154"/>
      <c r="EY33" s="154"/>
      <c r="EZ33" s="154"/>
      <c r="FA33" s="154"/>
      <c r="FB33" s="154"/>
      <c r="FC33" s="154"/>
      <c r="FD33" s="154"/>
      <c r="FE33" s="154"/>
      <c r="FF33" s="154"/>
      <c r="FG33" s="154"/>
      <c r="FH33" s="154"/>
      <c r="FI33" s="154"/>
      <c r="FJ33" s="154"/>
      <c r="FK33" s="154"/>
      <c r="FL33" s="154"/>
      <c r="FM33" s="154"/>
      <c r="FN33" s="154"/>
      <c r="FO33" s="154"/>
      <c r="FP33" s="154"/>
      <c r="FQ33" s="154"/>
      <c r="FR33" s="154"/>
      <c r="FS33" s="154"/>
      <c r="FT33" s="154"/>
      <c r="FU33" s="154"/>
      <c r="FV33" s="154"/>
      <c r="FW33" s="154"/>
      <c r="FX33" s="154"/>
      <c r="FY33" s="154"/>
      <c r="FZ33" s="154"/>
    </row>
    <row r="34" spans="5:187" s="153" customFormat="1" ht="12" hidden="1" customHeight="1"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5"/>
      <c r="AB34" s="157"/>
      <c r="AC34" s="158"/>
      <c r="AD34" s="159"/>
      <c r="AE34" s="159"/>
      <c r="AF34" s="159"/>
      <c r="AG34" s="159"/>
      <c r="AH34" s="159"/>
      <c r="AI34" s="159"/>
      <c r="AJ34" s="159"/>
      <c r="AK34" s="160"/>
      <c r="AL34" s="160"/>
      <c r="AM34" s="160"/>
      <c r="AN34" s="160"/>
      <c r="AO34" s="160"/>
      <c r="AP34" s="160"/>
      <c r="AQ34" s="147"/>
      <c r="AR34" s="147"/>
      <c r="AS34" s="160"/>
      <c r="AT34" s="160"/>
      <c r="AU34" s="160"/>
      <c r="AV34" s="160"/>
      <c r="AW34" s="147"/>
      <c r="AX34" s="147"/>
      <c r="AY34" s="147"/>
      <c r="AZ34" s="147"/>
      <c r="BA34" s="147"/>
      <c r="BB34" s="147"/>
      <c r="BC34" s="147"/>
      <c r="BD34" s="147"/>
      <c r="BE34" s="154"/>
      <c r="BF34" s="154"/>
      <c r="BG34" s="154"/>
      <c r="BH34" s="154"/>
      <c r="BI34" s="154"/>
      <c r="BJ34" s="154"/>
      <c r="BK34" s="154"/>
      <c r="BL34" s="154"/>
      <c r="BM34"/>
      <c r="BN34"/>
      <c r="BO34"/>
      <c r="BP34"/>
      <c r="BQ3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4"/>
      <c r="DT34" s="154"/>
      <c r="DU34" s="154"/>
      <c r="DV34" s="154"/>
      <c r="DW34" s="154"/>
      <c r="DX34" s="154"/>
      <c r="DY34" s="154"/>
      <c r="DZ34" s="154"/>
      <c r="EA34" s="154"/>
      <c r="EB34" s="154"/>
      <c r="EC34" s="154"/>
      <c r="ED34" s="154"/>
      <c r="EE34" s="154"/>
      <c r="EF34" s="154"/>
      <c r="EG34" s="154"/>
      <c r="EH34" s="154"/>
      <c r="EI34" s="154"/>
      <c r="EJ34" s="154"/>
      <c r="EK34" s="154"/>
      <c r="EL34" s="154"/>
      <c r="EM34" s="154"/>
      <c r="EN34" s="154"/>
      <c r="EO34" s="154"/>
      <c r="EP34" s="154"/>
      <c r="EQ34" s="154"/>
      <c r="ER34" s="154"/>
      <c r="ES34" s="154"/>
      <c r="ET34" s="154"/>
      <c r="EU34" s="154"/>
      <c r="EV34" s="154"/>
      <c r="EW34" s="154"/>
      <c r="EX34" s="154"/>
      <c r="EY34" s="154"/>
      <c r="EZ34" s="154"/>
      <c r="FA34" s="154"/>
      <c r="FB34" s="154"/>
      <c r="FC34" s="154"/>
      <c r="FD34" s="154"/>
      <c r="FE34" s="154"/>
      <c r="FF34" s="154"/>
      <c r="FG34" s="154"/>
      <c r="FH34" s="154"/>
      <c r="FI34" s="154"/>
      <c r="FJ34" s="154"/>
      <c r="FK34" s="154"/>
      <c r="FL34" s="154"/>
      <c r="FM34" s="154"/>
      <c r="FN34" s="154"/>
      <c r="FO34" s="154"/>
      <c r="FP34" s="154"/>
      <c r="FQ34" s="154"/>
      <c r="FR34" s="154"/>
      <c r="FS34" s="154"/>
      <c r="FT34" s="154"/>
      <c r="FU34" s="154"/>
      <c r="FV34" s="154"/>
      <c r="FW34" s="154"/>
      <c r="FX34" s="154"/>
      <c r="FY34" s="154"/>
      <c r="FZ34" s="154"/>
    </row>
    <row r="35" spans="5:187" s="153" customFormat="1" ht="12" hidden="1" customHeight="1"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5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/>
      <c r="BN35"/>
      <c r="BO35"/>
      <c r="BP35"/>
      <c r="BQ35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  <c r="DT35" s="154"/>
      <c r="DU35" s="154"/>
      <c r="DV35" s="154"/>
      <c r="DW35" s="154"/>
      <c r="DX35" s="154"/>
      <c r="DY35" s="154"/>
      <c r="DZ35" s="154"/>
      <c r="EA35" s="154"/>
      <c r="EB35" s="154"/>
      <c r="EC35" s="154"/>
      <c r="ED35" s="154"/>
      <c r="EE35" s="154"/>
      <c r="EF35" s="154"/>
      <c r="EG35" s="154"/>
      <c r="EH35" s="154"/>
      <c r="EI35" s="154"/>
      <c r="EJ35" s="154"/>
      <c r="EK35" s="154"/>
      <c r="EL35" s="154"/>
      <c r="EM35" s="154"/>
      <c r="EN35" s="154"/>
      <c r="EO35" s="154"/>
      <c r="EP35" s="154"/>
      <c r="EQ35" s="154"/>
      <c r="ER35" s="154"/>
      <c r="ES35" s="154"/>
      <c r="ET35" s="154"/>
      <c r="EU35" s="154"/>
      <c r="EV35" s="154"/>
      <c r="EW35" s="154"/>
      <c r="EX35" s="154"/>
      <c r="EY35" s="154"/>
      <c r="EZ35" s="154"/>
      <c r="FA35" s="154"/>
      <c r="FB35" s="154"/>
      <c r="FC35" s="154"/>
      <c r="FD35" s="154"/>
      <c r="FE35" s="154"/>
      <c r="FF35" s="154"/>
      <c r="FG35" s="154"/>
      <c r="FH35" s="154"/>
      <c r="FI35" s="154"/>
      <c r="FJ35" s="154"/>
      <c r="FK35" s="154"/>
      <c r="FL35" s="154"/>
      <c r="FM35" s="154"/>
      <c r="FN35" s="154"/>
      <c r="FO35" s="154"/>
      <c r="FP35" s="154"/>
      <c r="FQ35" s="154"/>
      <c r="FR35" s="154"/>
      <c r="FS35" s="154"/>
      <c r="FT35" s="154"/>
      <c r="FU35" s="154"/>
      <c r="FV35" s="154"/>
      <c r="FW35" s="154"/>
      <c r="FX35" s="154"/>
      <c r="FY35" s="154"/>
      <c r="FZ35" s="154"/>
    </row>
    <row r="36" spans="5:187" s="153" customFormat="1" ht="12" hidden="1" customHeight="1"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5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/>
      <c r="BN36"/>
      <c r="BO36"/>
      <c r="BP36"/>
      <c r="BQ36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</row>
    <row r="37" spans="5:187" s="153" customFormat="1" ht="12" hidden="1" customHeight="1"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5"/>
      <c r="AB37" s="154"/>
      <c r="AC37" s="154"/>
      <c r="AD37" s="154"/>
      <c r="AE37" s="154"/>
      <c r="AF37" s="154"/>
      <c r="AG37" s="154"/>
      <c r="AH37" s="154"/>
      <c r="AI37" s="154"/>
      <c r="AJ37" s="154"/>
      <c r="AK37" s="162"/>
      <c r="AL37" s="163"/>
      <c r="AM37" s="163"/>
      <c r="AN37" s="163"/>
      <c r="AO37" s="163"/>
      <c r="AP37" s="163"/>
      <c r="AQ37" s="154"/>
      <c r="AR37" s="154"/>
      <c r="AS37" s="163"/>
      <c r="AT37" s="163"/>
      <c r="AU37" s="163"/>
      <c r="AV37" s="163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/>
      <c r="BN37"/>
      <c r="BO37"/>
      <c r="BP37"/>
      <c r="BQ37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  <c r="EN37" s="154"/>
      <c r="EO37" s="154"/>
      <c r="EP37" s="154"/>
      <c r="EQ37" s="154"/>
      <c r="ER37" s="154"/>
      <c r="ES37" s="154"/>
      <c r="ET37" s="154"/>
      <c r="EU37" s="154"/>
      <c r="EV37" s="154"/>
      <c r="EW37" s="154"/>
      <c r="EX37" s="154"/>
      <c r="EY37" s="154"/>
      <c r="EZ37" s="154"/>
      <c r="FA37" s="154"/>
      <c r="FB37" s="154"/>
      <c r="FC37" s="154"/>
      <c r="FD37" s="154"/>
      <c r="FE37" s="154"/>
      <c r="FF37" s="154"/>
      <c r="FG37" s="154"/>
      <c r="FH37" s="154"/>
      <c r="FI37" s="154"/>
      <c r="FJ37" s="154"/>
      <c r="FK37" s="154"/>
      <c r="FL37" s="154"/>
      <c r="FM37" s="154"/>
      <c r="FN37" s="154"/>
      <c r="FO37" s="154"/>
      <c r="FP37" s="154"/>
      <c r="FQ37" s="154"/>
      <c r="FR37" s="154"/>
      <c r="FS37" s="154"/>
      <c r="FT37" s="154"/>
      <c r="FU37" s="154"/>
      <c r="FV37" s="154"/>
      <c r="FW37" s="154"/>
      <c r="FX37" s="154"/>
      <c r="FY37" s="154"/>
      <c r="FZ37" s="154"/>
    </row>
    <row r="38" spans="5:187" s="58" customFormat="1" ht="0.75" customHeight="1">
      <c r="F38" s="59"/>
      <c r="G38" s="59"/>
      <c r="H38" s="59"/>
      <c r="I38" s="59"/>
      <c r="J38" s="59"/>
      <c r="K38" s="59"/>
      <c r="L38" s="59"/>
      <c r="M38" s="59"/>
      <c r="N38" s="59"/>
      <c r="O38" s="164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165" t="s">
        <v>1724</v>
      </c>
      <c r="AL38" s="81"/>
      <c r="AM38" s="81"/>
      <c r="AN38" s="81"/>
      <c r="AO38" s="81"/>
      <c r="AP38" s="81"/>
      <c r="AQ38" s="165" t="s">
        <v>1724</v>
      </c>
      <c r="AR38" s="81"/>
      <c r="AS38" s="81"/>
      <c r="AT38" s="81"/>
      <c r="AU38" s="81"/>
      <c r="AV38" s="81"/>
      <c r="AW38" s="165" t="s">
        <v>1724</v>
      </c>
      <c r="AX38" s="81"/>
      <c r="AY38" s="81"/>
      <c r="AZ38" s="81"/>
      <c r="BA38" s="81"/>
      <c r="BB38" s="81"/>
      <c r="BC38" s="165" t="s">
        <v>1724</v>
      </c>
      <c r="BD38" s="81"/>
      <c r="BE38" s="59"/>
      <c r="BF38" s="59"/>
      <c r="BG38" s="59"/>
      <c r="BH38" s="59"/>
      <c r="BI38" s="59"/>
      <c r="BJ38" s="59"/>
      <c r="BK38" s="59"/>
      <c r="BL38" s="59"/>
      <c r="BM38"/>
      <c r="BN38"/>
      <c r="BO38"/>
      <c r="BP38"/>
      <c r="BQ38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</row>
    <row r="39" spans="5:187" s="58" customFormat="1" ht="3" customHeight="1">
      <c r="F39" s="59"/>
      <c r="G39" s="59"/>
      <c r="H39" s="59"/>
      <c r="I39" s="59"/>
      <c r="J39" s="59"/>
      <c r="K39" s="59"/>
      <c r="L39" s="59"/>
      <c r="M39" s="59"/>
      <c r="N39" s="59"/>
      <c r="O39" s="56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166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</row>
    <row r="40" spans="5:187" s="346" customFormat="1" ht="36" customHeight="1">
      <c r="E40" s="341"/>
      <c r="F40" s="342"/>
      <c r="G40" s="483"/>
      <c r="H40" s="342"/>
      <c r="I40" s="459" t="s">
        <v>1551</v>
      </c>
      <c r="J40" s="459"/>
      <c r="K40" s="459"/>
      <c r="L40" s="459"/>
      <c r="M40" s="459" t="s">
        <v>1549</v>
      </c>
      <c r="N40" s="459" t="s">
        <v>1606</v>
      </c>
      <c r="O40" s="459" t="s">
        <v>1661</v>
      </c>
      <c r="P40" s="459"/>
      <c r="Q40" s="459" t="s">
        <v>1548</v>
      </c>
      <c r="R40" s="459"/>
      <c r="S40" s="459" t="s">
        <v>1550</v>
      </c>
      <c r="T40" s="459"/>
      <c r="U40" s="459"/>
      <c r="V40" s="459"/>
      <c r="W40" s="459"/>
      <c r="X40" s="343"/>
      <c r="Y40" s="459"/>
      <c r="Z40" s="459"/>
      <c r="AA40" s="459" t="s">
        <v>1647</v>
      </c>
      <c r="AB40" s="459" t="s">
        <v>1605</v>
      </c>
      <c r="AC40" s="459" t="s">
        <v>1668</v>
      </c>
      <c r="AD40" s="459"/>
      <c r="AE40" s="443" t="str">
        <f>"Плановые величины показателей на " &amp; IF(god="","Не определено",god) &amp; " год"</f>
        <v>Плановые величины показателей на 2014 год</v>
      </c>
      <c r="AF40" s="444"/>
      <c r="AG40" s="443" t="s">
        <v>1373</v>
      </c>
      <c r="AH40" s="475"/>
      <c r="AI40" s="443" t="s">
        <v>1376</v>
      </c>
      <c r="AJ40" s="475"/>
      <c r="AK40" s="443" t="str">
        <f>"Фактические величины показателей по итогам 12 месяцев " &amp; IF(god="","Не определено",god) &amp; " года"</f>
        <v>Фактические величины показателей по итогам 12 месяцев 2014 года</v>
      </c>
      <c r="AL40" s="475"/>
      <c r="AM40" s="443" t="s">
        <v>1374</v>
      </c>
      <c r="AN40" s="444"/>
      <c r="AO40" s="443" t="s">
        <v>1377</v>
      </c>
      <c r="AP40" s="444"/>
      <c r="AQ40" s="443" t="str">
        <f>"Фактические величины показателей по итогам 9 месяцев " &amp; IF(god="","Не определено",god) &amp; " года"</f>
        <v>Фактические величины показателей по итогам 9 месяцев 2014 года</v>
      </c>
      <c r="AR40" s="444"/>
      <c r="AS40" s="443" t="s">
        <v>1375</v>
      </c>
      <c r="AT40" s="444"/>
      <c r="AU40" s="443" t="s">
        <v>1378</v>
      </c>
      <c r="AV40" s="444"/>
      <c r="AW40" s="443" t="str">
        <f>"Фактические величины показателей по итогам I полугодия " &amp; IF(god="","Не определено",god) &amp; " года"</f>
        <v>Фактические величины показателей по итогам I полугодия 2014 года</v>
      </c>
      <c r="AX40" s="444"/>
      <c r="AY40" s="443" t="s">
        <v>1379</v>
      </c>
      <c r="AZ40" s="444"/>
      <c r="BA40" s="443" t="s">
        <v>1380</v>
      </c>
      <c r="BB40" s="444"/>
      <c r="BC40" s="443" t="str">
        <f>"Фактические величины показателей по итогам I квартала " &amp; IF(god="","Не определено",god) &amp; " года"</f>
        <v>Фактические величины показателей по итогам I квартала 2014 года</v>
      </c>
      <c r="BD40" s="444"/>
      <c r="BE40" s="433" t="s">
        <v>1641</v>
      </c>
      <c r="BF40" s="433"/>
      <c r="BG40" s="443" t="s">
        <v>1491</v>
      </c>
      <c r="BH40" s="478"/>
      <c r="BI40" s="478"/>
      <c r="BJ40" s="444"/>
      <c r="BK40" s="344"/>
      <c r="BL40" s="345"/>
      <c r="BM40" s="345"/>
      <c r="BN40" s="345"/>
      <c r="BO40" s="345"/>
      <c r="BP40" s="345"/>
      <c r="BQ40" s="345"/>
      <c r="BR40" s="345"/>
      <c r="BS40" s="345"/>
      <c r="BT40" s="345"/>
      <c r="BU40" s="345"/>
      <c r="BV40" s="345"/>
      <c r="BW40" s="345"/>
      <c r="BX40" s="345"/>
      <c r="BY40" s="345"/>
      <c r="BZ40" s="345"/>
      <c r="CA40" s="345"/>
      <c r="CB40" s="345"/>
      <c r="CC40" s="345"/>
      <c r="CD40" s="345"/>
      <c r="CE40" s="345"/>
      <c r="CF40" s="345"/>
      <c r="CG40" s="345"/>
      <c r="CH40" s="345"/>
      <c r="CI40" s="345"/>
      <c r="CJ40" s="345"/>
      <c r="CK40" s="345"/>
      <c r="CL40" s="345"/>
      <c r="CM40" s="345"/>
      <c r="CN40" s="345"/>
      <c r="CO40" s="345"/>
      <c r="CP40" s="345"/>
      <c r="CQ40" s="345"/>
      <c r="CR40" s="345"/>
      <c r="CS40" s="345"/>
      <c r="CT40" s="345"/>
      <c r="CU40" s="345"/>
      <c r="CV40" s="345"/>
      <c r="CW40" s="345"/>
      <c r="CX40" s="345"/>
      <c r="CY40" s="345"/>
      <c r="CZ40" s="345"/>
      <c r="DA40" s="345"/>
      <c r="DB40" s="345"/>
      <c r="DC40" s="345"/>
      <c r="DD40" s="345"/>
      <c r="DE40" s="345"/>
      <c r="DF40" s="345"/>
      <c r="DG40" s="345"/>
      <c r="DH40" s="345"/>
      <c r="DI40" s="345"/>
      <c r="DJ40" s="345"/>
      <c r="DK40" s="345"/>
      <c r="DL40" s="345"/>
      <c r="DM40" s="345"/>
      <c r="DN40" s="345"/>
      <c r="DO40" s="345"/>
      <c r="DP40" s="345"/>
      <c r="DQ40" s="345"/>
      <c r="DR40" s="345"/>
      <c r="DS40" s="345"/>
      <c r="DT40" s="345"/>
      <c r="DU40" s="345"/>
      <c r="DV40" s="345"/>
      <c r="DW40" s="345"/>
      <c r="DX40" s="345"/>
      <c r="DY40" s="345"/>
      <c r="DZ40" s="345"/>
      <c r="EA40" s="345"/>
      <c r="EB40" s="345"/>
      <c r="EC40" s="345"/>
      <c r="ED40" s="345"/>
      <c r="EE40" s="345"/>
      <c r="EF40" s="345"/>
      <c r="EG40" s="345"/>
      <c r="EH40" s="345"/>
      <c r="EI40" s="345"/>
      <c r="EJ40" s="345"/>
      <c r="EK40" s="345"/>
      <c r="EL40" s="345"/>
      <c r="EM40" s="345"/>
      <c r="EN40" s="345"/>
      <c r="EO40" s="345"/>
      <c r="EP40" s="345"/>
      <c r="EQ40" s="345"/>
      <c r="ER40" s="345"/>
      <c r="ES40" s="345"/>
      <c r="ET40" s="345"/>
      <c r="EU40" s="345"/>
      <c r="EV40" s="345"/>
      <c r="EW40" s="345"/>
      <c r="EX40" s="345"/>
      <c r="EY40" s="345"/>
      <c r="EZ40" s="345"/>
      <c r="FA40" s="345"/>
      <c r="FB40" s="345"/>
      <c r="FC40" s="345"/>
      <c r="FD40" s="345"/>
      <c r="FE40" s="345"/>
      <c r="FF40" s="345"/>
      <c r="FG40" s="345"/>
      <c r="FH40" s="345"/>
      <c r="FI40" s="345"/>
      <c r="FJ40" s="345"/>
      <c r="FK40" s="345"/>
      <c r="FL40" s="345"/>
      <c r="FM40" s="345"/>
      <c r="FN40" s="345"/>
      <c r="FO40" s="345"/>
      <c r="FP40" s="345"/>
      <c r="FQ40" s="345"/>
      <c r="FR40" s="345"/>
      <c r="FS40" s="345"/>
      <c r="FT40" s="345"/>
      <c r="FU40" s="345"/>
      <c r="FV40" s="345"/>
      <c r="FW40" s="345"/>
      <c r="FX40" s="345"/>
      <c r="FY40" s="345"/>
      <c r="FZ40" s="345"/>
      <c r="GD40" s="339"/>
      <c r="GE40" s="339"/>
    </row>
    <row r="41" spans="5:187" s="346" customFormat="1" ht="18" customHeight="1">
      <c r="E41" s="341"/>
      <c r="F41" s="342"/>
      <c r="G41" s="483"/>
      <c r="H41" s="342"/>
      <c r="I41" s="459"/>
      <c r="J41" s="459"/>
      <c r="K41" s="459"/>
      <c r="L41" s="459"/>
      <c r="M41" s="459"/>
      <c r="N41" s="459"/>
      <c r="O41" s="459"/>
      <c r="P41" s="459"/>
      <c r="Q41" s="459"/>
      <c r="R41" s="459"/>
      <c r="S41" s="459"/>
      <c r="T41" s="459"/>
      <c r="U41" s="459"/>
      <c r="V41" s="459"/>
      <c r="W41" s="459"/>
      <c r="X41" s="347"/>
      <c r="Y41" s="459"/>
      <c r="Z41" s="459"/>
      <c r="AA41" s="459"/>
      <c r="AB41" s="459"/>
      <c r="AC41" s="459"/>
      <c r="AD41" s="459"/>
      <c r="AE41" s="445"/>
      <c r="AF41" s="446"/>
      <c r="AG41" s="476"/>
      <c r="AH41" s="477"/>
      <c r="AI41" s="476"/>
      <c r="AJ41" s="477"/>
      <c r="AK41" s="476"/>
      <c r="AL41" s="477"/>
      <c r="AM41" s="445"/>
      <c r="AN41" s="446"/>
      <c r="AO41" s="445"/>
      <c r="AP41" s="446"/>
      <c r="AQ41" s="445"/>
      <c r="AR41" s="446"/>
      <c r="AS41" s="445"/>
      <c r="AT41" s="446"/>
      <c r="AU41" s="445"/>
      <c r="AV41" s="446"/>
      <c r="AW41" s="445"/>
      <c r="AX41" s="446"/>
      <c r="AY41" s="445"/>
      <c r="AZ41" s="446"/>
      <c r="BA41" s="445"/>
      <c r="BB41" s="446"/>
      <c r="BC41" s="445"/>
      <c r="BD41" s="446"/>
      <c r="BE41" s="433"/>
      <c r="BF41" s="433"/>
      <c r="BG41" s="479"/>
      <c r="BH41" s="480"/>
      <c r="BI41" s="480"/>
      <c r="BJ41" s="481"/>
      <c r="BK41" s="344"/>
      <c r="BL41" s="345"/>
      <c r="BM41" s="345"/>
      <c r="BN41" s="345"/>
      <c r="BO41" s="345"/>
      <c r="BP41" s="345"/>
      <c r="BQ41" s="345"/>
      <c r="BR41" s="345"/>
      <c r="BS41" s="345"/>
      <c r="BT41" s="345"/>
      <c r="BU41" s="345"/>
      <c r="BV41" s="345"/>
      <c r="BW41" s="345"/>
      <c r="BX41" s="345"/>
      <c r="BY41" s="345"/>
      <c r="BZ41" s="345"/>
      <c r="CA41" s="345"/>
      <c r="CB41" s="345"/>
      <c r="CC41" s="345"/>
      <c r="CD41" s="345"/>
      <c r="CE41" s="345"/>
      <c r="CF41" s="345"/>
      <c r="CG41" s="345"/>
      <c r="CH41" s="345"/>
      <c r="CI41" s="345"/>
      <c r="CJ41" s="345"/>
      <c r="CK41" s="345"/>
      <c r="CL41" s="345"/>
      <c r="CM41" s="345"/>
      <c r="CN41" s="345"/>
      <c r="CO41" s="345"/>
      <c r="CP41" s="345"/>
      <c r="CQ41" s="345"/>
      <c r="CR41" s="345"/>
      <c r="CS41" s="345"/>
      <c r="CT41" s="345"/>
      <c r="CU41" s="345"/>
      <c r="CV41" s="345"/>
      <c r="CW41" s="345"/>
      <c r="CX41" s="345"/>
      <c r="CY41" s="345"/>
      <c r="CZ41" s="345"/>
      <c r="DA41" s="345"/>
      <c r="DB41" s="345"/>
      <c r="DC41" s="345"/>
      <c r="DD41" s="345"/>
      <c r="DE41" s="345"/>
      <c r="DF41" s="345"/>
      <c r="DG41" s="345"/>
      <c r="DH41" s="345"/>
      <c r="DI41" s="345"/>
      <c r="DJ41" s="345"/>
      <c r="DK41" s="345"/>
      <c r="DL41" s="345"/>
      <c r="DM41" s="345"/>
      <c r="DN41" s="345"/>
      <c r="DO41" s="345"/>
      <c r="DP41" s="345"/>
      <c r="DQ41" s="345"/>
      <c r="DR41" s="345"/>
      <c r="DS41" s="345"/>
      <c r="DT41" s="345"/>
      <c r="DU41" s="345"/>
      <c r="DV41" s="345"/>
      <c r="DW41" s="345"/>
      <c r="DX41" s="345"/>
      <c r="DY41" s="345"/>
      <c r="DZ41" s="345"/>
      <c r="EA41" s="345"/>
      <c r="EB41" s="345"/>
      <c r="EC41" s="345"/>
      <c r="ED41" s="345"/>
      <c r="EE41" s="345"/>
      <c r="EF41" s="345"/>
      <c r="EG41" s="345"/>
      <c r="EH41" s="345"/>
      <c r="EI41" s="345"/>
      <c r="EJ41" s="345"/>
      <c r="EK41" s="345"/>
      <c r="EL41" s="345"/>
      <c r="EM41" s="345"/>
      <c r="EN41" s="345"/>
      <c r="EO41" s="345"/>
      <c r="EP41" s="345"/>
      <c r="EQ41" s="345"/>
      <c r="ER41" s="345"/>
      <c r="ES41" s="345"/>
      <c r="ET41" s="345"/>
      <c r="EU41" s="345"/>
      <c r="EV41" s="345"/>
      <c r="EW41" s="345"/>
      <c r="EX41" s="345"/>
      <c r="EY41" s="345"/>
      <c r="EZ41" s="345"/>
      <c r="FA41" s="345"/>
      <c r="FB41" s="345"/>
      <c r="FC41" s="345"/>
      <c r="FD41" s="345"/>
      <c r="FE41" s="345"/>
      <c r="FF41" s="345"/>
      <c r="FG41" s="345"/>
      <c r="FH41" s="345"/>
      <c r="FI41" s="345"/>
      <c r="FJ41" s="345"/>
      <c r="FK41" s="345"/>
      <c r="FL41" s="345"/>
      <c r="FM41" s="345"/>
      <c r="FN41" s="345"/>
      <c r="FO41" s="345"/>
      <c r="FP41" s="345"/>
      <c r="FQ41" s="345"/>
      <c r="FR41" s="345"/>
      <c r="FS41" s="345"/>
      <c r="FT41" s="345"/>
      <c r="FU41" s="345"/>
      <c r="FV41" s="345"/>
      <c r="FW41" s="345"/>
      <c r="FX41" s="345"/>
      <c r="FY41" s="345"/>
      <c r="FZ41" s="345"/>
      <c r="GD41" s="339"/>
      <c r="GE41" s="339"/>
    </row>
    <row r="42" spans="5:187" s="346" customFormat="1" ht="42" customHeight="1">
      <c r="E42" s="341"/>
      <c r="F42" s="342"/>
      <c r="G42" s="483"/>
      <c r="H42" s="342"/>
      <c r="I42" s="459"/>
      <c r="J42" s="459"/>
      <c r="K42" s="459"/>
      <c r="L42" s="459"/>
      <c r="M42" s="459"/>
      <c r="N42" s="459"/>
      <c r="O42" s="459"/>
      <c r="P42" s="459"/>
      <c r="Q42" s="459"/>
      <c r="R42" s="459"/>
      <c r="S42" s="459"/>
      <c r="T42" s="459"/>
      <c r="U42" s="459"/>
      <c r="V42" s="459"/>
      <c r="W42" s="459"/>
      <c r="X42" s="347"/>
      <c r="Y42" s="459"/>
      <c r="Z42" s="459"/>
      <c r="AA42" s="459"/>
      <c r="AB42" s="459"/>
      <c r="AC42" s="459"/>
      <c r="AD42" s="459"/>
      <c r="AE42" s="434" t="s">
        <v>1335</v>
      </c>
      <c r="AF42" s="454" t="s">
        <v>1336</v>
      </c>
      <c r="AG42" s="434" t="s">
        <v>1335</v>
      </c>
      <c r="AH42" s="454" t="s">
        <v>1336</v>
      </c>
      <c r="AI42" s="434"/>
      <c r="AJ42" s="454" t="s">
        <v>1336</v>
      </c>
      <c r="AK42" s="434" t="s">
        <v>1335</v>
      </c>
      <c r="AL42" s="454" t="s">
        <v>1336</v>
      </c>
      <c r="AM42" s="434" t="s">
        <v>1335</v>
      </c>
      <c r="AN42" s="454" t="s">
        <v>1336</v>
      </c>
      <c r="AO42" s="434"/>
      <c r="AP42" s="454" t="s">
        <v>1336</v>
      </c>
      <c r="AQ42" s="434" t="s">
        <v>1335</v>
      </c>
      <c r="AR42" s="454" t="s">
        <v>1336</v>
      </c>
      <c r="AS42" s="434" t="s">
        <v>1335</v>
      </c>
      <c r="AT42" s="454" t="s">
        <v>1336</v>
      </c>
      <c r="AU42" s="434"/>
      <c r="AV42" s="454" t="s">
        <v>1336</v>
      </c>
      <c r="AW42" s="434" t="s">
        <v>1335</v>
      </c>
      <c r="AX42" s="454" t="s">
        <v>1336</v>
      </c>
      <c r="AY42" s="434" t="s">
        <v>1335</v>
      </c>
      <c r="AZ42" s="454" t="s">
        <v>1336</v>
      </c>
      <c r="BA42" s="434"/>
      <c r="BB42" s="454" t="s">
        <v>1336</v>
      </c>
      <c r="BC42" s="434" t="s">
        <v>1335</v>
      </c>
      <c r="BD42" s="454" t="s">
        <v>1336</v>
      </c>
      <c r="BE42" s="433"/>
      <c r="BF42" s="433"/>
      <c r="BG42" s="479"/>
      <c r="BH42" s="480"/>
      <c r="BI42" s="480"/>
      <c r="BJ42" s="481"/>
      <c r="BK42" s="345"/>
      <c r="BL42" s="345"/>
      <c r="BM42" s="345"/>
      <c r="BN42" s="345"/>
      <c r="BO42" s="345"/>
      <c r="BP42" s="345"/>
      <c r="BQ42" s="345"/>
      <c r="BR42" s="345"/>
      <c r="BS42" s="345"/>
      <c r="BT42" s="345"/>
      <c r="BU42" s="345"/>
      <c r="BV42" s="345"/>
      <c r="BW42" s="345"/>
      <c r="BX42" s="345"/>
      <c r="BY42" s="345"/>
      <c r="BZ42" s="345"/>
      <c r="CA42" s="345"/>
      <c r="CB42" s="345"/>
      <c r="CC42" s="345"/>
      <c r="CD42" s="345"/>
      <c r="CE42" s="345"/>
      <c r="CF42" s="345"/>
      <c r="CG42" s="345"/>
      <c r="CH42" s="345"/>
      <c r="CI42" s="345"/>
      <c r="CJ42" s="345"/>
      <c r="CK42" s="345"/>
      <c r="CL42" s="345"/>
      <c r="CM42" s="345"/>
      <c r="CN42" s="345"/>
      <c r="CO42" s="345"/>
      <c r="CP42" s="345"/>
      <c r="CQ42" s="345"/>
      <c r="CR42" s="345"/>
      <c r="CS42" s="345"/>
      <c r="CT42" s="345"/>
      <c r="CU42" s="345"/>
      <c r="CV42" s="345"/>
      <c r="CW42" s="345"/>
      <c r="CX42" s="345"/>
      <c r="CY42" s="345"/>
      <c r="CZ42" s="345"/>
      <c r="DA42" s="345"/>
      <c r="DB42" s="345"/>
      <c r="DC42" s="345"/>
      <c r="DD42" s="345"/>
      <c r="DE42" s="345"/>
      <c r="DF42" s="345"/>
      <c r="DG42" s="345"/>
      <c r="DH42" s="345"/>
      <c r="DI42" s="345"/>
      <c r="DJ42" s="345"/>
      <c r="DK42" s="345"/>
      <c r="DL42" s="345"/>
      <c r="DM42" s="345"/>
      <c r="DN42" s="345"/>
      <c r="DO42" s="345"/>
      <c r="DP42" s="345"/>
      <c r="DQ42" s="345"/>
      <c r="DR42" s="345"/>
      <c r="DS42" s="345"/>
      <c r="DT42" s="345"/>
      <c r="DU42" s="345"/>
      <c r="DV42" s="345"/>
      <c r="DW42" s="345"/>
      <c r="DX42" s="345"/>
      <c r="DY42" s="345"/>
      <c r="DZ42" s="345"/>
      <c r="EA42" s="345"/>
      <c r="EB42" s="345"/>
      <c r="EC42" s="345"/>
      <c r="ED42" s="345"/>
      <c r="EE42" s="345"/>
      <c r="EF42" s="345"/>
      <c r="EG42" s="345"/>
      <c r="EH42" s="345"/>
      <c r="EI42" s="345"/>
      <c r="EJ42" s="345"/>
      <c r="EK42" s="345"/>
      <c r="EL42" s="345"/>
      <c r="EM42" s="345"/>
      <c r="EN42" s="345"/>
      <c r="EO42" s="345"/>
      <c r="EP42" s="345"/>
      <c r="EQ42" s="345"/>
      <c r="ER42" s="345"/>
      <c r="ES42" s="345"/>
      <c r="ET42" s="345"/>
      <c r="EU42" s="345"/>
      <c r="EV42" s="345"/>
      <c r="EW42" s="345"/>
      <c r="EX42" s="345"/>
      <c r="EY42" s="345"/>
      <c r="EZ42" s="345"/>
      <c r="FA42" s="345"/>
      <c r="FB42" s="345"/>
      <c r="FC42" s="345"/>
      <c r="FD42" s="345"/>
      <c r="FE42" s="345"/>
      <c r="FF42" s="345"/>
      <c r="FG42" s="345"/>
      <c r="FH42" s="345"/>
      <c r="FI42" s="345"/>
      <c r="FJ42" s="345"/>
      <c r="FK42" s="345"/>
      <c r="FL42" s="345"/>
      <c r="FM42" s="345"/>
      <c r="FN42" s="345"/>
      <c r="FO42" s="345"/>
      <c r="FP42" s="345"/>
      <c r="FQ42" s="345"/>
      <c r="FR42" s="345"/>
      <c r="FS42" s="345"/>
      <c r="FT42" s="345"/>
      <c r="FU42" s="345"/>
      <c r="FV42" s="345"/>
      <c r="FW42" s="345"/>
      <c r="FX42" s="345"/>
      <c r="FY42" s="345"/>
      <c r="FZ42" s="345"/>
      <c r="GA42" s="345"/>
      <c r="GB42" s="345"/>
      <c r="GC42" s="345"/>
      <c r="GD42" s="339"/>
      <c r="GE42" s="339"/>
    </row>
    <row r="43" spans="5:187" s="346" customFormat="1" ht="18" customHeight="1">
      <c r="E43" s="341"/>
      <c r="F43" s="342"/>
      <c r="G43" s="483"/>
      <c r="H43" s="342"/>
      <c r="I43" s="459"/>
      <c r="J43" s="459"/>
      <c r="K43" s="459"/>
      <c r="L43" s="459"/>
      <c r="M43" s="459"/>
      <c r="N43" s="459"/>
      <c r="O43" s="459"/>
      <c r="P43" s="459"/>
      <c r="Q43" s="459"/>
      <c r="R43" s="459"/>
      <c r="S43" s="459"/>
      <c r="T43" s="459"/>
      <c r="U43" s="459"/>
      <c r="V43" s="459"/>
      <c r="W43" s="459"/>
      <c r="X43" s="347"/>
      <c r="Y43" s="459"/>
      <c r="Z43" s="459"/>
      <c r="AA43" s="459"/>
      <c r="AB43" s="459"/>
      <c r="AC43" s="459"/>
      <c r="AD43" s="459"/>
      <c r="AE43" s="434"/>
      <c r="AF43" s="455"/>
      <c r="AG43" s="434"/>
      <c r="AH43" s="455"/>
      <c r="AI43" s="434"/>
      <c r="AJ43" s="455"/>
      <c r="AK43" s="434"/>
      <c r="AL43" s="455"/>
      <c r="AM43" s="434"/>
      <c r="AN43" s="455"/>
      <c r="AO43" s="434"/>
      <c r="AP43" s="455"/>
      <c r="AQ43" s="434"/>
      <c r="AR43" s="455"/>
      <c r="AS43" s="434"/>
      <c r="AT43" s="455"/>
      <c r="AU43" s="434"/>
      <c r="AV43" s="455"/>
      <c r="AW43" s="434"/>
      <c r="AX43" s="455"/>
      <c r="AY43" s="434"/>
      <c r="AZ43" s="455"/>
      <c r="BA43" s="434"/>
      <c r="BB43" s="455"/>
      <c r="BC43" s="434"/>
      <c r="BD43" s="455"/>
      <c r="BE43" s="433"/>
      <c r="BF43" s="433"/>
      <c r="BG43" s="445"/>
      <c r="BH43" s="482"/>
      <c r="BI43" s="482"/>
      <c r="BJ43" s="446"/>
      <c r="BK43" s="345"/>
      <c r="BL43" s="345"/>
      <c r="BM43" s="345"/>
      <c r="BN43" s="345"/>
      <c r="BO43" s="345"/>
      <c r="BP43" s="345"/>
      <c r="BQ43" s="345"/>
      <c r="BR43" s="345"/>
      <c r="BS43" s="345"/>
      <c r="BT43" s="345"/>
      <c r="BU43" s="345"/>
      <c r="BV43" s="345"/>
      <c r="BW43" s="345"/>
      <c r="BX43" s="345"/>
      <c r="BY43" s="345"/>
      <c r="BZ43" s="345"/>
      <c r="CA43" s="345"/>
      <c r="CB43" s="345"/>
      <c r="CC43" s="345"/>
      <c r="CD43" s="345"/>
      <c r="CE43" s="345"/>
      <c r="CF43" s="345"/>
      <c r="CG43" s="345"/>
      <c r="CH43" s="345"/>
      <c r="CI43" s="345"/>
      <c r="CJ43" s="345"/>
      <c r="CK43" s="345"/>
      <c r="CL43" s="345"/>
      <c r="CM43" s="345"/>
      <c r="CN43" s="345"/>
      <c r="CO43" s="345"/>
      <c r="CP43" s="345"/>
      <c r="CQ43" s="345"/>
      <c r="CR43" s="345"/>
      <c r="CS43" s="345"/>
      <c r="CT43" s="345"/>
      <c r="CU43" s="345"/>
      <c r="CV43" s="345"/>
      <c r="CW43" s="345"/>
      <c r="CX43" s="345"/>
      <c r="CY43" s="345"/>
      <c r="CZ43" s="345"/>
      <c r="DA43" s="345"/>
      <c r="DB43" s="345"/>
      <c r="DC43" s="345"/>
      <c r="DD43" s="345"/>
      <c r="DE43" s="345"/>
      <c r="DF43" s="345"/>
      <c r="DG43" s="345"/>
      <c r="DH43" s="345"/>
      <c r="DI43" s="345"/>
      <c r="DJ43" s="345"/>
      <c r="DK43" s="345"/>
      <c r="DL43" s="345"/>
      <c r="DM43" s="345"/>
      <c r="DN43" s="345"/>
      <c r="DO43" s="345"/>
      <c r="DP43" s="345"/>
      <c r="DQ43" s="345"/>
      <c r="DR43" s="345"/>
      <c r="DS43" s="345"/>
      <c r="DT43" s="345"/>
      <c r="DU43" s="345"/>
      <c r="DV43" s="345"/>
      <c r="DW43" s="345"/>
      <c r="DX43" s="345"/>
      <c r="DY43" s="345"/>
      <c r="DZ43" s="345"/>
      <c r="EA43" s="345"/>
      <c r="EB43" s="345"/>
      <c r="EC43" s="345"/>
      <c r="ED43" s="345"/>
      <c r="EE43" s="345"/>
      <c r="EF43" s="345"/>
      <c r="EG43" s="345"/>
      <c r="EH43" s="345"/>
      <c r="EI43" s="345"/>
      <c r="EJ43" s="345"/>
      <c r="EK43" s="345"/>
      <c r="EL43" s="345"/>
      <c r="EM43" s="345"/>
      <c r="EN43" s="345"/>
      <c r="EO43" s="345"/>
      <c r="EP43" s="345"/>
      <c r="EQ43" s="345"/>
      <c r="ER43" s="345"/>
      <c r="ES43" s="345"/>
      <c r="ET43" s="345"/>
      <c r="EU43" s="345"/>
      <c r="EV43" s="345"/>
      <c r="EW43" s="345"/>
      <c r="EX43" s="345"/>
      <c r="EY43" s="345"/>
      <c r="EZ43" s="345"/>
      <c r="FA43" s="345"/>
      <c r="FB43" s="345"/>
      <c r="FC43" s="345"/>
      <c r="FD43" s="345"/>
      <c r="FE43" s="345"/>
      <c r="FF43" s="345"/>
      <c r="FG43" s="345"/>
      <c r="FH43" s="345"/>
      <c r="FI43" s="345"/>
      <c r="FJ43" s="345"/>
      <c r="FK43" s="345"/>
      <c r="FL43" s="345"/>
      <c r="FM43" s="345"/>
      <c r="FN43" s="345"/>
      <c r="FO43" s="345"/>
      <c r="FP43" s="345"/>
      <c r="FQ43" s="345"/>
      <c r="FR43" s="345"/>
      <c r="FS43" s="345"/>
      <c r="FT43" s="345"/>
      <c r="FU43" s="345"/>
      <c r="FV43" s="345"/>
      <c r="FW43" s="345"/>
      <c r="FX43" s="345"/>
      <c r="FY43" s="345"/>
      <c r="FZ43" s="345"/>
      <c r="GA43" s="345"/>
      <c r="GB43" s="345"/>
      <c r="GC43" s="345"/>
      <c r="GD43" s="339"/>
      <c r="GE43" s="339"/>
    </row>
    <row r="44" spans="5:187" s="58" customFormat="1" ht="0.75" customHeight="1">
      <c r="F44" s="59"/>
      <c r="G44" s="59"/>
      <c r="H44" s="59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74"/>
      <c r="AE44" s="174"/>
      <c r="AF44" s="174"/>
      <c r="AG44" s="174"/>
      <c r="AH44" s="174"/>
      <c r="AI44" s="174"/>
      <c r="AJ44" s="174"/>
      <c r="AK44" s="181"/>
      <c r="AL44" s="181"/>
      <c r="AM44" s="181"/>
      <c r="AN44" s="181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1"/>
      <c r="BC44" s="181"/>
      <c r="BD44" s="181"/>
      <c r="BE44" s="182"/>
      <c r="BF44" s="182"/>
      <c r="BG44" s="181"/>
      <c r="BH44" s="181"/>
      <c r="BI44" s="181"/>
      <c r="BJ44" s="181"/>
      <c r="BK44" s="135"/>
      <c r="BL44" s="135"/>
      <c r="BM44" s="135"/>
      <c r="BN44" s="135"/>
      <c r="BO44" s="135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63"/>
      <c r="EB44" s="63"/>
      <c r="EC44" s="63"/>
      <c r="ED44" s="63"/>
      <c r="EE44" s="63"/>
      <c r="EF44" s="63"/>
      <c r="EG44" s="63"/>
      <c r="EH44" s="63"/>
      <c r="EI44" s="63"/>
      <c r="EJ44" s="63"/>
      <c r="EK44" s="63"/>
      <c r="EL44" s="63"/>
      <c r="EM44" s="63"/>
      <c r="EN44" s="63"/>
      <c r="EO44" s="63"/>
      <c r="EP44" s="63"/>
      <c r="EQ44" s="63"/>
      <c r="ER44" s="63"/>
      <c r="ES44" s="63"/>
      <c r="ET44" s="63"/>
      <c r="EU44" s="63"/>
      <c r="EV44" s="63"/>
      <c r="EW44" s="63"/>
      <c r="EX44" s="63"/>
      <c r="EY44" s="63"/>
      <c r="EZ44" s="63"/>
      <c r="FA44" s="63"/>
      <c r="FB44" s="63"/>
      <c r="FC44" s="63"/>
      <c r="FD44" s="63"/>
      <c r="FE44" s="63"/>
      <c r="FF44" s="63"/>
      <c r="FG44" s="63"/>
      <c r="FH44" s="63"/>
      <c r="FI44" s="63"/>
      <c r="FJ44" s="63"/>
      <c r="FK44" s="63"/>
      <c r="FL44" s="63"/>
      <c r="FM44" s="63"/>
      <c r="FN44" s="63"/>
      <c r="FO44" s="63"/>
      <c r="FP44" s="63"/>
      <c r="FQ44" s="63"/>
      <c r="FR44" s="63"/>
      <c r="FS44" s="63"/>
      <c r="FT44" s="63"/>
      <c r="FU44" s="63"/>
      <c r="FV44" s="63"/>
      <c r="FW44" s="63"/>
      <c r="FX44" s="63"/>
      <c r="FY44" s="63"/>
      <c r="FZ44" s="63"/>
      <c r="GA44" s="9"/>
      <c r="GB44" s="9"/>
      <c r="GC44" s="9"/>
    </row>
    <row r="45" spans="5:187" s="58" customFormat="1" ht="12" hidden="1" customHeight="1">
      <c r="F45" s="59"/>
      <c r="G45" s="59"/>
      <c r="H45" s="59"/>
      <c r="I45" s="183" t="s">
        <v>1504</v>
      </c>
      <c r="J45" s="187"/>
      <c r="K45" s="187"/>
      <c r="L45" s="187"/>
      <c r="M45" s="187"/>
      <c r="N45" s="187"/>
      <c r="O45" s="187"/>
      <c r="P45" s="187"/>
      <c r="Q45" s="187"/>
      <c r="R45" s="184"/>
      <c r="S45" s="184"/>
      <c r="T45" s="184"/>
      <c r="U45" s="184"/>
      <c r="V45" s="180"/>
      <c r="W45" s="180"/>
      <c r="X45" s="180"/>
      <c r="Y45" s="184"/>
      <c r="Z45" s="184"/>
      <c r="AA45" s="188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4"/>
      <c r="BD45" s="184"/>
      <c r="BE45" s="189"/>
      <c r="BF45" s="189"/>
      <c r="BG45" s="190"/>
      <c r="BH45" s="190"/>
      <c r="BI45" s="190"/>
      <c r="BJ45" s="190"/>
      <c r="BK45" s="135"/>
      <c r="BL45" s="135"/>
      <c r="BM45" s="135"/>
      <c r="BN45" s="135"/>
      <c r="BO45" s="135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  <c r="CZ45" s="63"/>
      <c r="DA45" s="63"/>
      <c r="DB45" s="63"/>
      <c r="DC45" s="63"/>
      <c r="DD45" s="63"/>
      <c r="DE45" s="63"/>
      <c r="DF45" s="63"/>
      <c r="DG45" s="63"/>
      <c r="DH45" s="63"/>
      <c r="DI45" s="63"/>
      <c r="DJ45" s="63"/>
      <c r="DK45" s="63"/>
      <c r="DL45" s="63"/>
      <c r="DM45" s="63"/>
      <c r="DN45" s="63"/>
      <c r="DO45" s="63"/>
      <c r="DP45" s="63"/>
      <c r="DQ45" s="63"/>
      <c r="DR45" s="63"/>
      <c r="DS45" s="63"/>
      <c r="DT45" s="63"/>
      <c r="DU45" s="63"/>
      <c r="DV45" s="63"/>
      <c r="DW45" s="63"/>
      <c r="DX45" s="63"/>
      <c r="DY45" s="63"/>
      <c r="DZ45" s="63"/>
      <c r="EA45" s="63"/>
      <c r="EB45" s="63"/>
      <c r="EC45" s="63"/>
      <c r="ED45" s="63"/>
      <c r="EE45" s="63"/>
      <c r="EF45" s="63"/>
      <c r="EG45" s="63"/>
      <c r="EH45" s="63"/>
      <c r="EI45" s="63"/>
      <c r="EJ45" s="63"/>
      <c r="EK45" s="63"/>
      <c r="EL45" s="63"/>
      <c r="EM45" s="63"/>
      <c r="EN45" s="63"/>
      <c r="EO45" s="63"/>
      <c r="EP45" s="63"/>
      <c r="EQ45" s="63"/>
      <c r="ER45" s="63"/>
      <c r="ES45" s="63"/>
      <c r="ET45" s="63"/>
      <c r="EU45" s="63"/>
      <c r="EV45" s="63"/>
      <c r="EW45" s="63"/>
      <c r="EX45" s="63"/>
      <c r="EY45" s="63"/>
      <c r="EZ45" s="63"/>
      <c r="FA45" s="63"/>
      <c r="FB45" s="63"/>
      <c r="FC45" s="63"/>
      <c r="FD45" s="63"/>
      <c r="FE45" s="63"/>
      <c r="FF45" s="63"/>
      <c r="FG45" s="63"/>
      <c r="FH45" s="63"/>
      <c r="FI45" s="63"/>
      <c r="FJ45" s="63"/>
      <c r="FK45" s="63"/>
      <c r="FL45" s="63"/>
      <c r="FM45" s="63"/>
      <c r="FN45" s="63"/>
      <c r="FO45" s="63"/>
      <c r="FP45" s="63"/>
      <c r="FQ45" s="63"/>
      <c r="FR45" s="63"/>
      <c r="FS45" s="63"/>
      <c r="FT45" s="63"/>
      <c r="FU45" s="63"/>
      <c r="FV45" s="63"/>
      <c r="FW45" s="63"/>
      <c r="FX45" s="63"/>
      <c r="FY45" s="63"/>
      <c r="FZ45" s="63"/>
      <c r="GA45" s="9"/>
      <c r="GB45" s="9"/>
      <c r="GC45" s="9"/>
    </row>
    <row r="46" spans="5:187" s="58" customFormat="1" ht="0.75" customHeight="1">
      <c r="F46" s="59"/>
      <c r="G46" s="59"/>
      <c r="H46" s="59"/>
      <c r="I46" s="268"/>
      <c r="J46" s="265" t="s">
        <v>1566</v>
      </c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/>
      <c r="AJ46" s="265"/>
      <c r="AK46" s="265"/>
      <c r="AL46" s="265"/>
      <c r="AM46" s="265"/>
      <c r="AN46" s="265"/>
      <c r="AO46" s="265"/>
      <c r="AP46" s="265"/>
      <c r="AQ46" s="265"/>
      <c r="AR46" s="265"/>
      <c r="AS46" s="265"/>
      <c r="AT46" s="265"/>
      <c r="AU46" s="265"/>
      <c r="AV46" s="265"/>
      <c r="AW46" s="265"/>
      <c r="AX46" s="265"/>
      <c r="AY46" s="265"/>
      <c r="AZ46" s="265"/>
      <c r="BA46" s="265"/>
      <c r="BB46" s="265"/>
      <c r="BC46" s="265"/>
      <c r="BD46" s="265"/>
      <c r="BE46" s="265"/>
      <c r="BF46" s="265"/>
      <c r="BG46" s="265"/>
      <c r="BH46" s="265"/>
      <c r="BI46" s="265"/>
      <c r="BJ46" s="269"/>
      <c r="BK46" s="135"/>
      <c r="BL46" s="135"/>
      <c r="BM46" s="135"/>
      <c r="BN46" s="135"/>
      <c r="BO46" s="135"/>
      <c r="BP46" s="9"/>
      <c r="BQ46" s="9"/>
      <c r="BR46" s="136"/>
      <c r="BS46" s="136"/>
      <c r="BT46" s="136"/>
      <c r="BU46" s="136"/>
      <c r="BV46" s="136"/>
      <c r="BW46" s="136"/>
      <c r="BX46" s="136"/>
      <c r="BY46" s="136"/>
      <c r="BZ46" s="136"/>
      <c r="CA46" s="136"/>
      <c r="CB46" s="136"/>
      <c r="CC46" s="136"/>
      <c r="CD46" s="136"/>
      <c r="CE46" s="136"/>
      <c r="CF46" s="136"/>
      <c r="CG46" s="136"/>
      <c r="CH46" s="136"/>
      <c r="CI46" s="136"/>
      <c r="CJ46" s="136"/>
      <c r="CK46" s="136"/>
      <c r="CL46" s="136"/>
      <c r="CM46" s="136"/>
      <c r="CN46" s="136"/>
      <c r="CO46" s="136"/>
      <c r="CP46" s="136"/>
      <c r="CQ46" s="136"/>
      <c r="CR46" s="136"/>
      <c r="CS46" s="136"/>
      <c r="CT46" s="136"/>
      <c r="CU46" s="136"/>
      <c r="CV46" s="136"/>
      <c r="CW46" s="136"/>
      <c r="CX46" s="136"/>
      <c r="CY46" s="136"/>
      <c r="CZ46" s="136"/>
      <c r="DA46" s="136"/>
      <c r="DB46" s="136"/>
      <c r="DC46" s="136"/>
      <c r="DD46" s="136"/>
      <c r="DE46" s="136"/>
      <c r="DF46" s="136"/>
      <c r="DG46" s="136"/>
      <c r="DH46" s="136"/>
      <c r="DI46" s="136"/>
      <c r="DJ46" s="136"/>
      <c r="DK46" s="136"/>
      <c r="DL46" s="136"/>
      <c r="DM46" s="136"/>
      <c r="DN46" s="136"/>
      <c r="DO46" s="136"/>
      <c r="DP46" s="136"/>
      <c r="DQ46" s="136"/>
      <c r="DR46" s="136"/>
      <c r="DS46" s="136"/>
      <c r="DT46" s="136"/>
      <c r="DU46" s="136"/>
      <c r="DV46" s="136"/>
      <c r="DW46" s="136"/>
      <c r="DX46" s="136"/>
      <c r="DY46" s="136"/>
      <c r="DZ46" s="136"/>
      <c r="EA46" s="136"/>
      <c r="EB46" s="136"/>
      <c r="EC46" s="136"/>
      <c r="ED46" s="136"/>
      <c r="EE46" s="136"/>
      <c r="EF46" s="136"/>
      <c r="EG46" s="136"/>
      <c r="EH46" s="136"/>
      <c r="EI46" s="136"/>
      <c r="EJ46" s="136"/>
      <c r="EK46" s="136"/>
      <c r="EL46" s="136"/>
      <c r="EM46" s="136"/>
      <c r="EN46" s="136"/>
      <c r="EO46" s="136"/>
      <c r="EP46" s="136"/>
      <c r="EQ46" s="136"/>
      <c r="ER46" s="136"/>
      <c r="ES46" s="136"/>
      <c r="ET46" s="136"/>
      <c r="EU46" s="136"/>
      <c r="EV46" s="136"/>
      <c r="EW46" s="136"/>
      <c r="EX46" s="136"/>
      <c r="EY46" s="136"/>
      <c r="EZ46" s="136"/>
      <c r="FA46" s="136"/>
      <c r="FB46" s="136"/>
      <c r="FC46" s="136"/>
      <c r="FD46" s="136"/>
      <c r="FE46" s="136"/>
      <c r="FF46" s="136"/>
      <c r="FG46" s="136"/>
      <c r="FH46" s="136"/>
      <c r="FI46" s="136"/>
      <c r="FJ46" s="136"/>
      <c r="FK46" s="136"/>
      <c r="FL46" s="136"/>
      <c r="FM46" s="136"/>
      <c r="FN46" s="136"/>
      <c r="FO46" s="136"/>
      <c r="FP46" s="136"/>
      <c r="FQ46" s="136"/>
      <c r="FR46" s="136"/>
      <c r="FS46" s="136"/>
      <c r="FT46" s="136"/>
      <c r="FU46" s="136"/>
      <c r="FV46" s="136"/>
      <c r="FW46" s="136"/>
      <c r="FX46" s="136"/>
      <c r="FY46" s="136"/>
      <c r="FZ46" s="136"/>
      <c r="GA46" s="9"/>
      <c r="GB46" s="9"/>
      <c r="GC46" s="9"/>
    </row>
    <row r="47" spans="5:187" s="58" customFormat="1" ht="12" customHeight="1">
      <c r="F47" s="59"/>
      <c r="G47" s="59"/>
      <c r="H47" s="59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Y47" s="60"/>
      <c r="Z47" s="60"/>
      <c r="AA47" s="167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136"/>
      <c r="BS47" s="136"/>
      <c r="BT47" s="136"/>
      <c r="BU47" s="136"/>
      <c r="BV47" s="136"/>
      <c r="BW47" s="136"/>
      <c r="BX47" s="136"/>
      <c r="BY47" s="136"/>
      <c r="BZ47" s="136"/>
      <c r="CA47" s="136"/>
      <c r="CB47" s="136"/>
      <c r="CC47" s="136"/>
      <c r="CD47" s="136"/>
      <c r="CE47" s="136"/>
      <c r="CF47" s="136"/>
      <c r="CG47" s="136"/>
      <c r="CH47" s="136"/>
      <c r="CI47" s="136"/>
      <c r="CJ47" s="136"/>
      <c r="CK47" s="136"/>
      <c r="CL47" s="136"/>
      <c r="CM47" s="136"/>
      <c r="CN47" s="136"/>
      <c r="CO47" s="136"/>
      <c r="CP47" s="136"/>
      <c r="CQ47" s="136"/>
      <c r="CR47" s="136"/>
      <c r="CS47" s="136"/>
      <c r="CT47" s="136"/>
      <c r="CU47" s="136"/>
      <c r="CV47" s="136"/>
      <c r="CW47" s="136"/>
      <c r="CX47" s="136"/>
      <c r="CY47" s="136"/>
      <c r="CZ47" s="136"/>
      <c r="DA47" s="136"/>
      <c r="DB47" s="136"/>
      <c r="DC47" s="136"/>
      <c r="DD47" s="136"/>
      <c r="DE47" s="136"/>
      <c r="DF47" s="136"/>
      <c r="DG47" s="136"/>
      <c r="DH47" s="136"/>
      <c r="DI47" s="136"/>
      <c r="DJ47" s="136"/>
      <c r="DK47" s="136"/>
      <c r="DL47" s="136"/>
      <c r="DM47" s="136"/>
      <c r="DN47" s="136"/>
      <c r="DO47" s="136"/>
      <c r="DP47" s="136"/>
      <c r="DQ47" s="136"/>
      <c r="DR47" s="136"/>
      <c r="DS47" s="136"/>
      <c r="DT47" s="136"/>
      <c r="DU47" s="136"/>
      <c r="DV47" s="136"/>
      <c r="DW47" s="136"/>
      <c r="DX47" s="136"/>
      <c r="DY47" s="136"/>
      <c r="DZ47" s="136"/>
      <c r="EA47" s="136"/>
      <c r="EB47" s="136"/>
      <c r="EC47" s="136"/>
      <c r="ED47" s="136"/>
      <c r="EE47" s="136"/>
      <c r="EF47" s="136"/>
      <c r="EG47" s="136"/>
      <c r="EH47" s="136"/>
      <c r="EI47" s="136"/>
      <c r="EJ47" s="136"/>
      <c r="EK47" s="136"/>
      <c r="EL47" s="136"/>
      <c r="EM47" s="136"/>
      <c r="EN47" s="136"/>
      <c r="EO47" s="136"/>
      <c r="EP47" s="136"/>
      <c r="EQ47" s="136"/>
      <c r="ER47" s="136"/>
      <c r="ES47" s="136"/>
      <c r="ET47" s="136"/>
      <c r="EU47" s="136"/>
      <c r="EV47" s="136"/>
      <c r="EW47" s="136"/>
      <c r="EX47" s="136"/>
      <c r="EY47" s="136"/>
      <c r="EZ47" s="136"/>
      <c r="FA47" s="136"/>
      <c r="FB47" s="136"/>
      <c r="FC47" s="136"/>
      <c r="FD47" s="136"/>
      <c r="FE47" s="136"/>
      <c r="FF47" s="136"/>
      <c r="FG47" s="136"/>
      <c r="FH47" s="136"/>
      <c r="FI47" s="136"/>
      <c r="FJ47" s="136"/>
      <c r="FK47" s="136"/>
      <c r="FL47" s="136"/>
      <c r="FM47" s="136"/>
      <c r="FN47" s="136"/>
      <c r="FO47" s="136"/>
      <c r="FP47" s="136"/>
      <c r="FQ47" s="136"/>
      <c r="FR47" s="136"/>
      <c r="FS47" s="136"/>
      <c r="FT47" s="136"/>
      <c r="FU47" s="136"/>
      <c r="FV47" s="136"/>
      <c r="FW47" s="136"/>
      <c r="FX47" s="136"/>
      <c r="FY47" s="136"/>
      <c r="FZ47" s="136"/>
    </row>
    <row r="48" spans="5:187" s="58" customFormat="1" ht="12" customHeight="1">
      <c r="I48" s="352"/>
      <c r="J48" s="338" t="s">
        <v>1658</v>
      </c>
      <c r="K48" s="339"/>
      <c r="L48" s="339"/>
      <c r="M48" s="339"/>
      <c r="N48" s="339"/>
      <c r="O48" s="339"/>
      <c r="P48" s="339"/>
      <c r="Q48" s="339"/>
      <c r="R48" s="339"/>
      <c r="S48" s="339"/>
      <c r="T48" s="339"/>
      <c r="U48" s="339"/>
      <c r="V48" s="339"/>
      <c r="W48" s="339"/>
      <c r="X48" s="339"/>
      <c r="Y48" s="339"/>
      <c r="Z48" s="339"/>
      <c r="AA48" s="353"/>
      <c r="AB48" s="339"/>
      <c r="AC48" s="339"/>
    </row>
    <row r="49" spans="9:29" s="58" customFormat="1" ht="12" customHeight="1">
      <c r="I49" s="352"/>
      <c r="J49" s="338" t="s">
        <v>1753</v>
      </c>
      <c r="K49" s="339"/>
      <c r="L49" s="339"/>
      <c r="M49" s="354"/>
      <c r="N49" s="339"/>
      <c r="O49" s="339"/>
      <c r="P49" s="339"/>
      <c r="Q49" s="339"/>
      <c r="R49" s="339"/>
      <c r="S49" s="339"/>
      <c r="T49" s="339"/>
      <c r="U49" s="339"/>
      <c r="V49" s="339"/>
      <c r="W49" s="339"/>
      <c r="X49" s="339"/>
      <c r="Y49" s="339"/>
      <c r="Z49" s="339"/>
      <c r="AA49" s="353"/>
      <c r="AB49" s="339"/>
      <c r="AC49" s="339"/>
    </row>
    <row r="50" spans="9:29" s="58" customFormat="1" ht="12" customHeight="1">
      <c r="I50" s="352"/>
      <c r="J50" s="340" t="s">
        <v>20</v>
      </c>
      <c r="K50" s="339"/>
      <c r="L50" s="339"/>
      <c r="M50" s="354"/>
      <c r="N50" s="339"/>
      <c r="O50" s="339"/>
      <c r="P50" s="339"/>
      <c r="Q50" s="339"/>
      <c r="R50" s="339"/>
      <c r="S50" s="339"/>
      <c r="T50" s="339"/>
      <c r="U50" s="339"/>
      <c r="V50" s="339"/>
      <c r="W50" s="339"/>
      <c r="X50" s="339"/>
      <c r="Y50" s="339"/>
      <c r="Z50" s="339"/>
      <c r="AA50" s="353"/>
      <c r="AB50" s="339"/>
      <c r="AC50" s="339"/>
    </row>
    <row r="51" spans="9:29" s="58" customFormat="1" ht="12" customHeight="1">
      <c r="I51" s="352"/>
      <c r="J51" s="340" t="s">
        <v>1754</v>
      </c>
      <c r="K51" s="339"/>
      <c r="L51" s="339"/>
      <c r="M51" s="354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53"/>
      <c r="AB51" s="339"/>
      <c r="AC51" s="339"/>
    </row>
    <row r="52" spans="9:29" s="58" customFormat="1" ht="12" customHeight="1">
      <c r="I52" s="352"/>
      <c r="J52" s="340" t="s">
        <v>1755</v>
      </c>
      <c r="K52" s="339"/>
      <c r="L52" s="339"/>
      <c r="M52" s="354"/>
      <c r="N52" s="339"/>
      <c r="O52" s="339"/>
      <c r="P52" s="339"/>
      <c r="Q52" s="339"/>
      <c r="R52" s="339"/>
      <c r="S52" s="339"/>
      <c r="T52" s="339"/>
      <c r="U52" s="339"/>
      <c r="V52" s="339"/>
      <c r="W52" s="339"/>
      <c r="X52" s="339"/>
      <c r="Y52" s="339"/>
      <c r="Z52" s="339"/>
      <c r="AA52" s="353"/>
      <c r="AB52" s="339"/>
      <c r="AC52" s="339"/>
    </row>
    <row r="53" spans="9:29" s="58" customFormat="1" ht="12" customHeight="1">
      <c r="I53" s="339"/>
      <c r="J53" s="338" t="s">
        <v>25</v>
      </c>
      <c r="K53" s="339"/>
      <c r="L53" s="339"/>
      <c r="M53" s="354"/>
      <c r="N53" s="339"/>
      <c r="O53" s="339"/>
      <c r="P53" s="339"/>
      <c r="Q53" s="339"/>
      <c r="R53" s="339"/>
      <c r="S53" s="339"/>
      <c r="T53" s="339"/>
      <c r="U53" s="339"/>
      <c r="V53" s="339"/>
      <c r="W53" s="339"/>
      <c r="X53" s="339"/>
      <c r="Y53" s="339"/>
      <c r="Z53" s="339"/>
      <c r="AA53" s="353"/>
      <c r="AB53" s="339"/>
      <c r="AC53" s="339"/>
    </row>
    <row r="54" spans="9:29" customFormat="1" ht="12" customHeight="1"/>
    <row r="55" spans="9:29" s="58" customFormat="1" ht="12" customHeight="1">
      <c r="AA55" s="168"/>
    </row>
    <row r="56" spans="9:29" s="58" customFormat="1" ht="12" customHeight="1">
      <c r="AA56" s="168"/>
    </row>
    <row r="57" spans="9:29" s="58" customFormat="1" ht="12" customHeight="1">
      <c r="AA57" s="168"/>
    </row>
    <row r="58" spans="9:29" s="58" customFormat="1" ht="12" customHeight="1">
      <c r="AA58" s="168"/>
    </row>
    <row r="59" spans="9:29" s="58" customFormat="1" ht="12" customHeight="1">
      <c r="AA59" s="168"/>
    </row>
    <row r="60" spans="9:29" s="58" customFormat="1" ht="12" customHeight="1">
      <c r="AA60" s="168"/>
    </row>
    <row r="61" spans="9:29" s="58" customFormat="1" ht="12" customHeight="1">
      <c r="AA61" s="168"/>
    </row>
    <row r="62" spans="9:29" s="58" customFormat="1" ht="12" customHeight="1">
      <c r="AA62" s="168"/>
    </row>
    <row r="63" spans="9:29" s="58" customFormat="1" ht="12" customHeight="1">
      <c r="AA63" s="168"/>
    </row>
    <row r="64" spans="9:29" s="58" customFormat="1" ht="12" customHeight="1">
      <c r="AA64" s="168"/>
    </row>
    <row r="65" spans="1:28" s="58" customFormat="1" ht="12" customHeight="1">
      <c r="AA65" s="168"/>
    </row>
    <row r="66" spans="1:28" s="58" customFormat="1" ht="12" customHeight="1">
      <c r="AA66" s="168"/>
    </row>
    <row r="67" spans="1:28" s="142" customFormat="1" ht="12" customHeight="1">
      <c r="E67" s="58"/>
      <c r="F67" s="58"/>
      <c r="G67" s="58"/>
      <c r="H67" s="58"/>
      <c r="I67" s="58"/>
      <c r="J67" s="58"/>
      <c r="K67" s="58"/>
      <c r="L67" s="58"/>
      <c r="M67" s="58"/>
      <c r="N67" s="58"/>
      <c r="AA67" s="169"/>
      <c r="AB67" s="47"/>
    </row>
    <row r="68" spans="1:28" ht="15" customHeight="1">
      <c r="A68" s="52"/>
      <c r="B68" s="52"/>
      <c r="C68" s="52"/>
      <c r="D68" s="52"/>
      <c r="E68" s="58"/>
      <c r="F68" s="58"/>
      <c r="G68" s="58"/>
      <c r="H68" s="58"/>
      <c r="I68" s="58"/>
      <c r="J68" s="58"/>
      <c r="K68" s="58"/>
      <c r="L68" s="58"/>
      <c r="M68" s="58"/>
      <c r="N68" s="58"/>
    </row>
    <row r="69" spans="1:28" ht="15" customHeight="1">
      <c r="A69" s="52"/>
      <c r="B69" s="52"/>
      <c r="C69" s="52"/>
      <c r="D69" s="52"/>
      <c r="E69" s="58"/>
      <c r="F69" s="58"/>
      <c r="G69" s="58"/>
      <c r="H69" s="58"/>
      <c r="I69" s="58"/>
      <c r="J69" s="58"/>
      <c r="K69" s="58"/>
      <c r="L69" s="58"/>
      <c r="M69" s="58"/>
      <c r="N69" s="58"/>
    </row>
    <row r="70" spans="1:28" ht="15" customHeight="1">
      <c r="A70" s="52"/>
      <c r="B70" s="52"/>
      <c r="C70" s="52"/>
      <c r="D70" s="52"/>
      <c r="E70" s="58"/>
      <c r="F70" s="58"/>
      <c r="G70" s="58"/>
      <c r="H70" s="58"/>
      <c r="I70" s="58"/>
      <c r="J70" s="58"/>
      <c r="K70" s="58"/>
      <c r="L70" s="58"/>
      <c r="M70" s="58"/>
      <c r="N70" s="58"/>
    </row>
    <row r="71" spans="1:28" ht="15" customHeight="1">
      <c r="A71" s="52"/>
      <c r="B71" s="52"/>
      <c r="C71" s="52"/>
      <c r="D71" s="52"/>
      <c r="E71" s="58"/>
      <c r="F71" s="58"/>
      <c r="G71" s="58"/>
      <c r="H71" s="58"/>
      <c r="I71" s="58"/>
      <c r="J71" s="58"/>
      <c r="K71" s="58"/>
      <c r="L71" s="58"/>
      <c r="M71" s="58"/>
      <c r="N71" s="58"/>
    </row>
    <row r="72" spans="1:28" ht="15" customHeight="1">
      <c r="A72" s="52"/>
      <c r="B72" s="52"/>
      <c r="C72" s="52"/>
      <c r="D72" s="52"/>
      <c r="E72" s="58"/>
      <c r="F72" s="58"/>
      <c r="G72" s="58"/>
      <c r="H72" s="58"/>
      <c r="I72" s="58"/>
      <c r="J72" s="58"/>
      <c r="K72" s="58"/>
      <c r="L72" s="58"/>
      <c r="M72" s="58"/>
      <c r="N72" s="58"/>
    </row>
    <row r="73" spans="1:28" ht="15" customHeight="1">
      <c r="A73" s="52"/>
      <c r="B73" s="52"/>
      <c r="C73" s="52"/>
      <c r="D73" s="52"/>
      <c r="E73" s="58"/>
      <c r="F73" s="58"/>
      <c r="G73" s="58"/>
      <c r="H73" s="58"/>
      <c r="I73" s="58"/>
      <c r="J73" s="58"/>
      <c r="K73" s="58"/>
      <c r="L73" s="58"/>
      <c r="M73" s="58"/>
      <c r="N73" s="58"/>
    </row>
    <row r="74" spans="1:28" ht="15" customHeight="1">
      <c r="A74" s="52"/>
      <c r="B74" s="52"/>
      <c r="C74" s="52"/>
      <c r="D74" s="52"/>
      <c r="E74" s="58"/>
      <c r="F74" s="58"/>
      <c r="G74" s="58"/>
      <c r="H74" s="58"/>
      <c r="I74" s="58"/>
      <c r="J74" s="58"/>
      <c r="K74" s="58"/>
      <c r="L74" s="58"/>
      <c r="M74" s="58"/>
      <c r="N74" s="58"/>
    </row>
    <row r="75" spans="1:28" ht="15" customHeight="1">
      <c r="A75" s="52"/>
      <c r="B75" s="52"/>
      <c r="C75" s="52"/>
      <c r="D75" s="52"/>
      <c r="E75" s="58"/>
      <c r="F75" s="58"/>
      <c r="G75" s="58"/>
      <c r="H75" s="58"/>
      <c r="I75" s="58"/>
      <c r="J75" s="58"/>
      <c r="K75" s="58"/>
      <c r="L75" s="58"/>
      <c r="M75" s="58"/>
      <c r="N75" s="58"/>
    </row>
    <row r="76" spans="1:28" ht="15" customHeight="1">
      <c r="A76" s="52"/>
      <c r="B76" s="52"/>
      <c r="C76" s="52"/>
      <c r="D76" s="52"/>
      <c r="E76" s="58"/>
      <c r="F76" s="58"/>
      <c r="G76" s="58"/>
      <c r="H76" s="58"/>
      <c r="I76" s="58"/>
      <c r="J76" s="58"/>
      <c r="K76" s="58"/>
      <c r="L76" s="58"/>
      <c r="M76" s="58"/>
      <c r="N76" s="58"/>
    </row>
    <row r="77" spans="1:28" ht="15" customHeight="1">
      <c r="A77" s="52"/>
      <c r="B77" s="52"/>
      <c r="C77" s="52"/>
      <c r="D77" s="52"/>
      <c r="E77" s="58"/>
      <c r="F77" s="58"/>
      <c r="G77" s="58"/>
      <c r="H77" s="58"/>
      <c r="I77" s="58"/>
      <c r="J77" s="58"/>
      <c r="K77" s="58"/>
      <c r="L77" s="58"/>
      <c r="M77" s="58"/>
      <c r="N77" s="58"/>
    </row>
    <row r="78" spans="1:28" ht="15" customHeight="1">
      <c r="A78" s="52"/>
      <c r="B78" s="52"/>
      <c r="C78" s="52"/>
      <c r="D78" s="52"/>
      <c r="E78" s="58"/>
      <c r="F78" s="58"/>
      <c r="G78" s="58"/>
      <c r="H78" s="58"/>
      <c r="I78" s="58"/>
      <c r="J78" s="58"/>
      <c r="K78" s="58"/>
      <c r="L78" s="58"/>
      <c r="M78" s="58"/>
      <c r="N78" s="58"/>
    </row>
    <row r="79" spans="1:28" ht="15" customHeight="1">
      <c r="A79" s="52"/>
      <c r="B79" s="52"/>
      <c r="C79" s="52"/>
      <c r="D79" s="52"/>
      <c r="E79" s="58"/>
      <c r="F79" s="58"/>
      <c r="G79" s="58"/>
      <c r="H79" s="58"/>
      <c r="I79" s="58"/>
      <c r="J79" s="58"/>
      <c r="K79" s="58"/>
      <c r="L79" s="58"/>
      <c r="M79" s="58"/>
      <c r="N79" s="58"/>
    </row>
    <row r="80" spans="1:28" ht="15" customHeight="1">
      <c r="A80" s="52"/>
      <c r="B80" s="52"/>
      <c r="C80" s="52"/>
      <c r="D80" s="52"/>
      <c r="E80" s="58"/>
      <c r="F80" s="58"/>
      <c r="G80" s="58"/>
      <c r="H80" s="58"/>
      <c r="I80" s="58"/>
      <c r="J80" s="58"/>
      <c r="K80" s="58"/>
      <c r="L80" s="58"/>
      <c r="M80" s="58"/>
      <c r="N80" s="58"/>
    </row>
    <row r="81" spans="1:27" ht="15" customHeight="1">
      <c r="A81" s="52"/>
      <c r="B81" s="52"/>
      <c r="C81" s="52"/>
      <c r="D81" s="52"/>
      <c r="E81" s="58"/>
      <c r="F81" s="58"/>
      <c r="G81" s="58"/>
      <c r="H81" s="58"/>
      <c r="I81" s="58"/>
      <c r="J81" s="58"/>
      <c r="K81" s="58"/>
      <c r="L81" s="58"/>
      <c r="M81" s="58"/>
      <c r="N81" s="58"/>
    </row>
    <row r="82" spans="1:27" ht="15" customHeight="1">
      <c r="A82" s="52"/>
      <c r="B82" s="52"/>
      <c r="C82" s="52"/>
      <c r="D82" s="52"/>
      <c r="E82" s="58"/>
      <c r="F82" s="58"/>
      <c r="G82" s="58"/>
      <c r="H82" s="58"/>
      <c r="I82" s="58"/>
      <c r="J82" s="58"/>
      <c r="K82" s="58"/>
      <c r="L82" s="58"/>
      <c r="M82" s="58"/>
      <c r="N82" s="58"/>
    </row>
    <row r="83" spans="1:27" ht="15" customHeight="1">
      <c r="A83" s="52"/>
      <c r="B83" s="52"/>
      <c r="C83" s="52"/>
      <c r="D83" s="52"/>
      <c r="E83" s="58"/>
      <c r="F83" s="58"/>
      <c r="G83" s="58"/>
      <c r="H83" s="58"/>
      <c r="I83" s="58"/>
      <c r="J83" s="58"/>
      <c r="K83" s="58"/>
      <c r="L83" s="58"/>
      <c r="M83" s="58"/>
      <c r="N83" s="58"/>
      <c r="AA83" s="47"/>
    </row>
    <row r="84" spans="1:27" ht="15" customHeight="1">
      <c r="A84" s="52"/>
      <c r="B84" s="52"/>
      <c r="C84" s="52"/>
      <c r="D84" s="52"/>
      <c r="E84" s="58"/>
      <c r="F84" s="58"/>
      <c r="G84" s="58"/>
      <c r="H84" s="58"/>
      <c r="I84" s="58"/>
      <c r="J84" s="58"/>
      <c r="K84" s="58"/>
      <c r="L84" s="58"/>
      <c r="M84" s="58"/>
      <c r="N84" s="58"/>
      <c r="AA84" s="47"/>
    </row>
    <row r="85" spans="1:27" ht="15" customHeight="1">
      <c r="A85" s="52"/>
      <c r="B85" s="52"/>
      <c r="C85" s="52"/>
      <c r="D85" s="52"/>
      <c r="E85" s="58"/>
      <c r="F85" s="58"/>
      <c r="G85" s="58"/>
      <c r="H85" s="58"/>
      <c r="I85" s="58"/>
      <c r="J85" s="58"/>
      <c r="K85" s="58"/>
      <c r="L85" s="58"/>
      <c r="M85" s="58"/>
      <c r="N85" s="58"/>
      <c r="AA85" s="47"/>
    </row>
    <row r="86" spans="1:27" ht="15" customHeight="1">
      <c r="A86" s="52"/>
      <c r="B86" s="52"/>
      <c r="C86" s="52"/>
      <c r="D86" s="52"/>
      <c r="E86" s="58"/>
      <c r="F86" s="58"/>
      <c r="G86" s="58"/>
      <c r="H86" s="58"/>
      <c r="I86" s="58"/>
      <c r="J86" s="58"/>
      <c r="K86" s="58"/>
      <c r="L86" s="58"/>
      <c r="M86" s="58"/>
      <c r="N86" s="58"/>
      <c r="AA86" s="47"/>
    </row>
    <row r="87" spans="1:27" ht="15" customHeight="1">
      <c r="A87" s="52"/>
      <c r="B87" s="52"/>
      <c r="C87" s="52"/>
      <c r="D87" s="52"/>
      <c r="E87" s="58"/>
      <c r="F87" s="58"/>
      <c r="G87" s="58"/>
      <c r="H87" s="58"/>
      <c r="I87" s="58"/>
      <c r="J87" s="58"/>
      <c r="K87" s="58"/>
      <c r="L87" s="58"/>
      <c r="M87" s="58"/>
      <c r="N87" s="58"/>
      <c r="AA87" s="47"/>
    </row>
    <row r="88" spans="1:27" ht="15" customHeight="1">
      <c r="A88" s="52"/>
      <c r="B88" s="52"/>
      <c r="C88" s="52"/>
      <c r="D88" s="52"/>
      <c r="E88" s="58"/>
      <c r="F88" s="58"/>
      <c r="G88" s="58"/>
      <c r="H88" s="58"/>
      <c r="I88" s="58"/>
      <c r="J88" s="58"/>
      <c r="K88" s="58"/>
      <c r="L88" s="58"/>
      <c r="M88" s="58"/>
      <c r="N88" s="58"/>
      <c r="AA88" s="47"/>
    </row>
    <row r="89" spans="1:27" ht="15" customHeight="1">
      <c r="A89" s="52"/>
      <c r="B89" s="52"/>
      <c r="C89" s="52"/>
      <c r="D89" s="52"/>
      <c r="E89" s="58"/>
      <c r="F89" s="58"/>
      <c r="G89" s="58"/>
      <c r="H89" s="58"/>
      <c r="I89" s="58"/>
      <c r="J89" s="58"/>
      <c r="K89" s="58"/>
      <c r="L89" s="58"/>
      <c r="M89" s="58"/>
      <c r="N89" s="58"/>
      <c r="AA89" s="47"/>
    </row>
    <row r="90" spans="1:27" ht="15" customHeight="1">
      <c r="A90" s="52"/>
      <c r="B90" s="52"/>
      <c r="C90" s="52"/>
      <c r="D90" s="52"/>
      <c r="E90" s="58"/>
      <c r="F90" s="58"/>
      <c r="G90" s="58"/>
      <c r="H90" s="58"/>
      <c r="I90" s="58"/>
      <c r="J90" s="58"/>
      <c r="K90" s="58"/>
      <c r="L90" s="58"/>
      <c r="M90" s="58"/>
      <c r="N90" s="58"/>
      <c r="AA90" s="47"/>
    </row>
    <row r="91" spans="1:27" ht="24" customHeight="1">
      <c r="A91" s="52"/>
      <c r="B91" s="52"/>
      <c r="C91" s="52"/>
      <c r="D91" s="52"/>
      <c r="E91" s="58"/>
      <c r="F91" s="58"/>
      <c r="G91" s="58"/>
      <c r="H91" s="58"/>
      <c r="I91" s="58"/>
      <c r="J91" s="58"/>
      <c r="K91" s="58"/>
      <c r="L91" s="58"/>
      <c r="M91" s="58"/>
      <c r="N91" s="58"/>
      <c r="AA91" s="47"/>
    </row>
    <row r="92" spans="1:27" ht="15" customHeight="1">
      <c r="A92" s="52"/>
      <c r="B92" s="52"/>
      <c r="C92" s="52"/>
      <c r="D92" s="52"/>
      <c r="E92" s="58"/>
      <c r="F92" s="58"/>
      <c r="G92" s="58"/>
      <c r="H92" s="58"/>
      <c r="I92" s="58"/>
      <c r="J92" s="58"/>
      <c r="K92" s="58"/>
      <c r="L92" s="58"/>
      <c r="M92" s="58"/>
      <c r="N92" s="58"/>
      <c r="AA92" s="47"/>
    </row>
    <row r="93" spans="1:27" ht="15" customHeight="1">
      <c r="A93" s="52"/>
      <c r="B93" s="52"/>
      <c r="C93" s="52"/>
      <c r="D93" s="52"/>
      <c r="E93" s="58"/>
      <c r="F93" s="58"/>
      <c r="G93" s="58"/>
      <c r="H93" s="58"/>
      <c r="I93" s="58"/>
      <c r="J93" s="58"/>
      <c r="K93" s="58"/>
      <c r="L93" s="58"/>
      <c r="M93" s="58"/>
      <c r="N93" s="58"/>
      <c r="AA93" s="47"/>
    </row>
    <row r="94" spans="1:27" ht="15" customHeight="1">
      <c r="A94" s="52"/>
      <c r="B94" s="52"/>
      <c r="C94" s="52"/>
      <c r="D94" s="52"/>
      <c r="E94" s="58"/>
      <c r="F94" s="58"/>
      <c r="G94" s="58"/>
      <c r="H94" s="58"/>
      <c r="I94" s="58"/>
      <c r="J94" s="58"/>
      <c r="K94" s="58"/>
      <c r="L94" s="58"/>
      <c r="M94" s="58"/>
      <c r="N94" s="58"/>
      <c r="AA94" s="47"/>
    </row>
    <row r="95" spans="1:27" ht="15" customHeight="1">
      <c r="A95" s="52"/>
      <c r="B95" s="52"/>
      <c r="C95" s="52"/>
      <c r="D95" s="52"/>
      <c r="E95" s="58"/>
      <c r="F95" s="58"/>
      <c r="G95" s="58"/>
      <c r="H95" s="58"/>
      <c r="I95" s="58"/>
      <c r="J95" s="58"/>
      <c r="K95" s="58"/>
      <c r="L95" s="58"/>
      <c r="M95" s="58"/>
      <c r="N95" s="58"/>
      <c r="AA95" s="47"/>
    </row>
    <row r="96" spans="1:27" ht="15" customHeight="1">
      <c r="A96" s="52"/>
      <c r="B96" s="52"/>
      <c r="C96" s="52"/>
      <c r="D96" s="52"/>
      <c r="E96" s="58"/>
      <c r="F96" s="58"/>
      <c r="G96" s="58"/>
      <c r="H96" s="58"/>
      <c r="I96" s="58"/>
      <c r="J96" s="58"/>
      <c r="K96" s="58"/>
      <c r="L96" s="58"/>
      <c r="M96" s="58"/>
      <c r="N96" s="58"/>
      <c r="AA96" s="47"/>
    </row>
    <row r="97" spans="1:27" ht="15" customHeight="1">
      <c r="A97" s="52"/>
      <c r="B97" s="52"/>
      <c r="C97" s="52"/>
      <c r="D97" s="52"/>
      <c r="E97" s="58"/>
      <c r="F97" s="58"/>
      <c r="G97" s="58"/>
      <c r="H97" s="58"/>
      <c r="I97" s="58"/>
      <c r="J97" s="58"/>
      <c r="K97" s="58"/>
      <c r="L97" s="58"/>
      <c r="M97" s="58"/>
      <c r="N97" s="58"/>
      <c r="AA97" s="47"/>
    </row>
    <row r="98" spans="1:27" ht="15" customHeight="1">
      <c r="A98" s="52"/>
      <c r="B98" s="52"/>
      <c r="C98" s="52"/>
      <c r="D98" s="52"/>
      <c r="E98" s="58"/>
      <c r="F98" s="58"/>
      <c r="G98" s="58"/>
      <c r="H98" s="58"/>
      <c r="I98" s="58"/>
      <c r="J98" s="58"/>
      <c r="K98" s="58"/>
      <c r="L98" s="58"/>
      <c r="M98" s="58"/>
      <c r="N98" s="58"/>
      <c r="AA98" s="47"/>
    </row>
    <row r="99" spans="1:27" ht="15" customHeight="1">
      <c r="A99" s="52"/>
      <c r="B99" s="52"/>
      <c r="C99" s="52"/>
      <c r="D99" s="52"/>
      <c r="E99" s="58"/>
      <c r="F99" s="58"/>
      <c r="G99" s="58"/>
      <c r="H99" s="58"/>
      <c r="I99" s="58"/>
      <c r="J99" s="58"/>
      <c r="K99" s="58"/>
      <c r="L99" s="58"/>
      <c r="M99" s="58"/>
      <c r="N99" s="58"/>
      <c r="AA99" s="47"/>
    </row>
    <row r="100" spans="1:27" ht="24" customHeight="1">
      <c r="A100" s="52"/>
      <c r="B100" s="52"/>
      <c r="C100" s="52"/>
      <c r="D100" s="52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AA100" s="47"/>
    </row>
    <row r="101" spans="1:27" ht="24" customHeight="1">
      <c r="A101" s="52"/>
      <c r="B101" s="52"/>
      <c r="C101" s="52"/>
      <c r="D101" s="52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AA101" s="47"/>
    </row>
    <row r="102" spans="1:27" ht="24" customHeight="1">
      <c r="A102" s="52"/>
      <c r="B102" s="52"/>
      <c r="C102" s="52"/>
      <c r="D102" s="52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AA102" s="47"/>
    </row>
    <row r="103" spans="1:27" ht="15" customHeight="1">
      <c r="A103" s="52"/>
      <c r="B103" s="52"/>
      <c r="C103" s="52"/>
      <c r="D103" s="52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AA103" s="47"/>
    </row>
    <row r="104" spans="1:27" ht="15" customHeight="1">
      <c r="A104" s="52"/>
      <c r="B104" s="52"/>
      <c r="C104" s="52"/>
      <c r="D104" s="52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AA104" s="47"/>
    </row>
    <row r="105" spans="1:27" ht="15" customHeight="1">
      <c r="A105" s="52"/>
      <c r="B105" s="52"/>
      <c r="C105" s="52"/>
      <c r="D105" s="52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AA105" s="47"/>
    </row>
    <row r="106" spans="1:27" ht="15" customHeight="1">
      <c r="A106" s="52"/>
      <c r="B106" s="52"/>
      <c r="C106" s="52"/>
      <c r="D106" s="52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AA106" s="47"/>
    </row>
    <row r="107" spans="1:27" ht="15" customHeight="1">
      <c r="A107" s="52"/>
      <c r="B107" s="52"/>
      <c r="C107" s="52"/>
      <c r="D107" s="52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AA107" s="47"/>
    </row>
    <row r="108" spans="1:27" ht="15" customHeight="1">
      <c r="A108" s="52"/>
      <c r="B108" s="52"/>
      <c r="C108" s="52"/>
      <c r="D108" s="52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AA108" s="47"/>
    </row>
    <row r="109" spans="1:27" ht="15" customHeight="1">
      <c r="A109" s="52"/>
      <c r="B109" s="52"/>
      <c r="C109" s="52"/>
      <c r="D109" s="52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AA109" s="47"/>
    </row>
    <row r="110" spans="1:27" ht="15" customHeight="1">
      <c r="A110" s="52"/>
      <c r="B110" s="52"/>
      <c r="C110" s="52"/>
      <c r="D110" s="52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AA110" s="47"/>
    </row>
    <row r="111" spans="1:27" ht="15" customHeight="1">
      <c r="A111" s="52"/>
      <c r="B111" s="52"/>
      <c r="C111" s="52"/>
      <c r="D111" s="52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AA111" s="47"/>
    </row>
    <row r="112" spans="1:27" ht="15" customHeight="1">
      <c r="A112" s="52"/>
      <c r="B112" s="52"/>
      <c r="C112" s="52"/>
      <c r="D112" s="52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AA112" s="47"/>
    </row>
    <row r="113" spans="1:27" ht="15" customHeight="1">
      <c r="A113" s="52"/>
      <c r="B113" s="52"/>
      <c r="C113" s="52"/>
      <c r="D113" s="52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AA113" s="47"/>
    </row>
    <row r="114" spans="1:27" ht="15" customHeight="1">
      <c r="A114" s="52"/>
      <c r="B114" s="52"/>
      <c r="C114" s="52"/>
      <c r="D114" s="52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AA114" s="47"/>
    </row>
    <row r="115" spans="1:27" ht="15" customHeight="1">
      <c r="A115" s="52"/>
      <c r="B115" s="52"/>
      <c r="C115" s="52"/>
      <c r="D115" s="52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AA115" s="47"/>
    </row>
    <row r="116" spans="1:27" ht="15" customHeight="1">
      <c r="A116" s="52"/>
      <c r="B116" s="52"/>
      <c r="C116" s="52"/>
      <c r="D116" s="52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AA116" s="47"/>
    </row>
    <row r="117" spans="1:27" ht="15" customHeight="1">
      <c r="A117" s="52"/>
      <c r="B117" s="52"/>
      <c r="C117" s="52"/>
      <c r="D117" s="52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AA117" s="47"/>
    </row>
    <row r="118" spans="1:27" ht="15" customHeight="1">
      <c r="A118" s="52"/>
      <c r="B118" s="52"/>
      <c r="C118" s="52"/>
      <c r="D118" s="52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AA118" s="47"/>
    </row>
    <row r="119" spans="1:27" ht="15" customHeight="1">
      <c r="A119" s="52"/>
      <c r="B119" s="52"/>
      <c r="C119" s="52"/>
      <c r="D119" s="52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AA119" s="47"/>
    </row>
    <row r="120" spans="1:27" ht="15" customHeight="1">
      <c r="A120" s="52"/>
      <c r="B120" s="52"/>
      <c r="C120" s="52"/>
      <c r="D120" s="52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AA120" s="47"/>
    </row>
    <row r="121" spans="1:27" ht="15" customHeight="1">
      <c r="A121" s="52"/>
      <c r="B121" s="52"/>
      <c r="C121" s="52"/>
      <c r="D121" s="52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AA121" s="47"/>
    </row>
    <row r="122" spans="1:27" ht="15" customHeight="1">
      <c r="A122" s="52"/>
      <c r="B122" s="52"/>
      <c r="C122" s="52"/>
      <c r="D122" s="52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AA122" s="47"/>
    </row>
    <row r="123" spans="1:27" ht="24" customHeight="1">
      <c r="A123" s="52"/>
      <c r="B123" s="52"/>
      <c r="C123" s="52"/>
      <c r="D123" s="52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AA123" s="47"/>
    </row>
    <row r="124" spans="1:27" ht="15" customHeight="1">
      <c r="A124" s="52"/>
      <c r="B124" s="52"/>
      <c r="C124" s="52"/>
      <c r="D124" s="52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AA124" s="47"/>
    </row>
    <row r="125" spans="1:27" ht="15" customHeight="1">
      <c r="A125" s="52"/>
      <c r="B125" s="52"/>
      <c r="C125" s="52"/>
      <c r="D125" s="52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AA125" s="47"/>
    </row>
    <row r="126" spans="1:27" ht="15" customHeight="1">
      <c r="A126" s="52"/>
      <c r="B126" s="52"/>
      <c r="C126" s="52"/>
      <c r="D126" s="52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AA126" s="47"/>
    </row>
    <row r="127" spans="1:27" ht="15" customHeight="1">
      <c r="A127" s="52"/>
      <c r="B127" s="52"/>
      <c r="C127" s="52"/>
      <c r="D127" s="52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AA127" s="47"/>
    </row>
    <row r="128" spans="1:27" ht="15" customHeight="1">
      <c r="A128" s="52"/>
      <c r="B128" s="52"/>
      <c r="C128" s="52"/>
      <c r="D128" s="52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AA128" s="47"/>
    </row>
    <row r="129" spans="1:27" ht="15" customHeight="1">
      <c r="A129" s="52"/>
      <c r="B129" s="52"/>
      <c r="C129" s="52"/>
      <c r="D129" s="52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AA129" s="47"/>
    </row>
    <row r="130" spans="1:27" ht="15" customHeight="1">
      <c r="A130" s="52"/>
      <c r="B130" s="52"/>
      <c r="C130" s="52"/>
      <c r="D130" s="52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AA130" s="47"/>
    </row>
    <row r="131" spans="1:27" ht="15" customHeight="1">
      <c r="A131" s="52"/>
      <c r="B131" s="52"/>
      <c r="C131" s="52"/>
      <c r="D131" s="52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AA131" s="47"/>
    </row>
    <row r="132" spans="1:27" ht="24" customHeight="1">
      <c r="A132" s="52"/>
      <c r="B132" s="52"/>
      <c r="C132" s="52"/>
      <c r="D132" s="52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AA132" s="47"/>
    </row>
    <row r="133" spans="1:27" ht="24" customHeight="1">
      <c r="A133" s="52"/>
      <c r="B133" s="52"/>
      <c r="C133" s="52"/>
      <c r="D133" s="52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AA133" s="47"/>
    </row>
    <row r="134" spans="1:27" ht="24" customHeight="1">
      <c r="A134" s="52"/>
      <c r="B134" s="52"/>
      <c r="C134" s="52"/>
      <c r="D134" s="52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AA134" s="47"/>
    </row>
    <row r="135" spans="1:27" ht="15" customHeight="1">
      <c r="A135" s="52"/>
      <c r="B135" s="52"/>
      <c r="C135" s="52"/>
      <c r="D135" s="52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AA135" s="47"/>
    </row>
    <row r="136" spans="1:27" ht="15" customHeight="1">
      <c r="A136" s="52"/>
      <c r="B136" s="52"/>
      <c r="C136" s="52"/>
      <c r="D136" s="52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AA136" s="47"/>
    </row>
    <row r="137" spans="1:27" ht="15" customHeight="1">
      <c r="A137" s="52"/>
      <c r="B137" s="52"/>
      <c r="C137" s="52"/>
      <c r="D137" s="52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AA137" s="47"/>
    </row>
    <row r="138" spans="1:27" ht="15" customHeight="1">
      <c r="A138" s="52"/>
      <c r="B138" s="52"/>
      <c r="C138" s="52"/>
      <c r="D138" s="52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AA138" s="47"/>
    </row>
    <row r="139" spans="1:27" ht="15" customHeight="1">
      <c r="A139" s="52"/>
      <c r="B139" s="52"/>
      <c r="C139" s="52"/>
      <c r="D139" s="52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AA139" s="47"/>
    </row>
    <row r="140" spans="1:27" ht="15" customHeight="1">
      <c r="A140" s="52"/>
      <c r="B140" s="52"/>
      <c r="C140" s="52"/>
      <c r="D140" s="52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AA140" s="47"/>
    </row>
    <row r="141" spans="1:27" ht="15" customHeight="1">
      <c r="A141" s="52"/>
      <c r="B141" s="52"/>
      <c r="C141" s="52"/>
      <c r="D141" s="52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AA141" s="47"/>
    </row>
    <row r="142" spans="1:27" ht="15" customHeight="1">
      <c r="A142" s="52"/>
      <c r="B142" s="52"/>
      <c r="C142" s="52"/>
      <c r="D142" s="52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AA142" s="47"/>
    </row>
    <row r="143" spans="1:27" ht="15" customHeight="1">
      <c r="A143" s="52"/>
      <c r="B143" s="52"/>
      <c r="C143" s="52"/>
      <c r="D143" s="52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AA143" s="47"/>
    </row>
    <row r="144" spans="1:27" ht="15" customHeight="1">
      <c r="A144" s="52"/>
      <c r="B144" s="52"/>
      <c r="C144" s="52"/>
      <c r="D144" s="52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AA144" s="47"/>
    </row>
    <row r="145" spans="1:27" ht="15" customHeight="1">
      <c r="A145" s="52"/>
      <c r="B145" s="52"/>
      <c r="C145" s="52"/>
      <c r="D145" s="52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AA145" s="47"/>
    </row>
    <row r="146" spans="1:27" ht="15" customHeight="1">
      <c r="A146" s="52"/>
      <c r="B146" s="52"/>
      <c r="C146" s="52"/>
      <c r="D146" s="52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AA146" s="47"/>
    </row>
    <row r="147" spans="1:27" ht="15" customHeight="1">
      <c r="A147" s="52"/>
      <c r="B147" s="52"/>
      <c r="C147" s="52"/>
      <c r="D147" s="52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AA147" s="47"/>
    </row>
    <row r="148" spans="1:27" ht="15" customHeight="1">
      <c r="A148" s="52"/>
      <c r="B148" s="52"/>
      <c r="C148" s="52"/>
      <c r="D148" s="52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AA148" s="47"/>
    </row>
    <row r="149" spans="1:27" ht="15" customHeight="1">
      <c r="A149" s="52"/>
      <c r="B149" s="52"/>
      <c r="C149" s="52"/>
      <c r="D149" s="52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AA149" s="47"/>
    </row>
    <row r="150" spans="1:27" ht="15" customHeight="1">
      <c r="A150" s="52"/>
      <c r="B150" s="52"/>
      <c r="C150" s="52"/>
      <c r="D150" s="52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AA150" s="47"/>
    </row>
    <row r="151" spans="1:27" ht="15" customHeight="1">
      <c r="A151" s="52"/>
      <c r="B151" s="52"/>
      <c r="C151" s="52"/>
      <c r="D151" s="52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AA151" s="47"/>
    </row>
    <row r="152" spans="1:27" ht="15" customHeight="1">
      <c r="A152" s="52"/>
      <c r="B152" s="52"/>
      <c r="C152" s="52"/>
      <c r="D152" s="52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AA152" s="47"/>
    </row>
    <row r="153" spans="1:27" ht="15" customHeight="1">
      <c r="A153" s="52"/>
      <c r="B153" s="52"/>
      <c r="C153" s="52"/>
      <c r="D153" s="52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AA153" s="47"/>
    </row>
    <row r="154" spans="1:27" ht="15" customHeight="1">
      <c r="A154" s="52"/>
      <c r="B154" s="52"/>
      <c r="C154" s="52"/>
      <c r="D154" s="52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AA154" s="47"/>
    </row>
    <row r="155" spans="1:27" ht="15" customHeight="1">
      <c r="A155" s="52"/>
      <c r="B155" s="52"/>
      <c r="C155" s="52"/>
      <c r="D155" s="52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AA155" s="47"/>
    </row>
    <row r="156" spans="1:27" ht="15" customHeight="1">
      <c r="A156" s="52"/>
      <c r="B156" s="52"/>
      <c r="C156" s="52"/>
      <c r="D156" s="52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AA156" s="47"/>
    </row>
    <row r="157" spans="1:27" ht="15" customHeight="1">
      <c r="A157" s="52"/>
      <c r="B157" s="52"/>
      <c r="C157" s="52"/>
      <c r="D157" s="52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AA157" s="47"/>
    </row>
    <row r="158" spans="1:27" ht="15" customHeight="1">
      <c r="A158" s="52"/>
      <c r="B158" s="52"/>
      <c r="C158" s="52"/>
      <c r="D158" s="52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AA158" s="47"/>
    </row>
    <row r="159" spans="1:27" ht="15" customHeight="1">
      <c r="A159" s="52"/>
      <c r="B159" s="52"/>
      <c r="C159" s="52"/>
      <c r="D159" s="52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AA159" s="47"/>
    </row>
    <row r="160" spans="1:27" ht="15" customHeight="1">
      <c r="A160" s="52"/>
      <c r="B160" s="52"/>
      <c r="C160" s="52"/>
      <c r="D160" s="52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AA160" s="47"/>
    </row>
    <row r="161" spans="1:27" ht="15" customHeight="1">
      <c r="A161" s="52"/>
      <c r="B161" s="52"/>
      <c r="C161" s="52"/>
      <c r="D161" s="52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AA161" s="47"/>
    </row>
    <row r="162" spans="1:27" ht="15" customHeight="1">
      <c r="A162" s="52"/>
      <c r="B162" s="52"/>
      <c r="C162" s="52"/>
      <c r="D162" s="52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AA162" s="47"/>
    </row>
    <row r="163" spans="1:27" ht="15" customHeight="1">
      <c r="A163" s="52"/>
      <c r="B163" s="52"/>
      <c r="C163" s="52"/>
      <c r="D163" s="52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AA163" s="47"/>
    </row>
    <row r="164" spans="1:27" ht="15" customHeight="1">
      <c r="A164" s="52"/>
      <c r="B164" s="52"/>
      <c r="C164" s="52"/>
      <c r="D164" s="52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AA164" s="47"/>
    </row>
    <row r="165" spans="1:27" ht="15" customHeight="1">
      <c r="A165" s="52"/>
      <c r="B165" s="52"/>
      <c r="C165" s="52"/>
      <c r="D165" s="52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AA165" s="47"/>
    </row>
    <row r="166" spans="1:27" ht="15" customHeight="1">
      <c r="A166" s="52"/>
      <c r="B166" s="52"/>
      <c r="C166" s="52"/>
      <c r="D166" s="52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AA166" s="47"/>
    </row>
    <row r="167" spans="1:27" ht="15" customHeight="1">
      <c r="A167" s="52"/>
      <c r="B167" s="52"/>
      <c r="C167" s="52"/>
      <c r="D167" s="52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AA167" s="47"/>
    </row>
    <row r="168" spans="1:27" ht="15" customHeight="1">
      <c r="A168" s="52"/>
      <c r="B168" s="52"/>
      <c r="C168" s="52"/>
      <c r="D168" s="52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AA168" s="47"/>
    </row>
    <row r="169" spans="1:27" ht="15" customHeight="1">
      <c r="A169" s="52"/>
      <c r="B169" s="52"/>
      <c r="C169" s="52"/>
      <c r="D169" s="52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AA169" s="47"/>
    </row>
    <row r="170" spans="1:27" ht="15" customHeight="1">
      <c r="A170" s="52"/>
      <c r="B170" s="52"/>
      <c r="C170" s="52"/>
      <c r="D170" s="52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AA170" s="47"/>
    </row>
    <row r="171" spans="1:27" ht="15" customHeight="1">
      <c r="A171" s="52"/>
      <c r="B171" s="52"/>
      <c r="C171" s="52"/>
      <c r="D171" s="52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AA171" s="47"/>
    </row>
    <row r="172" spans="1:27" ht="15" customHeight="1">
      <c r="A172" s="52"/>
      <c r="B172" s="52"/>
      <c r="C172" s="52"/>
      <c r="D172" s="52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AA172" s="47"/>
    </row>
    <row r="173" spans="1:27" ht="15" customHeight="1">
      <c r="A173" s="52"/>
      <c r="B173" s="52"/>
      <c r="C173" s="52"/>
      <c r="D173" s="52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AA173" s="47"/>
    </row>
    <row r="174" spans="1:27" ht="15" customHeight="1">
      <c r="A174" s="52"/>
      <c r="B174" s="52"/>
      <c r="C174" s="52"/>
      <c r="D174" s="52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AA174" s="47"/>
    </row>
    <row r="175" spans="1:27" ht="15" customHeight="1">
      <c r="A175" s="52"/>
      <c r="B175" s="52"/>
      <c r="C175" s="52"/>
      <c r="D175" s="52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AA175" s="47"/>
    </row>
    <row r="176" spans="1:27" ht="15" customHeight="1">
      <c r="A176" s="52"/>
      <c r="B176" s="52"/>
      <c r="C176" s="52"/>
      <c r="D176" s="52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AA176" s="47"/>
    </row>
    <row r="177" spans="1:27" ht="15" customHeight="1">
      <c r="A177" s="52"/>
      <c r="B177" s="52"/>
      <c r="C177" s="52"/>
      <c r="D177" s="52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AA177" s="47"/>
    </row>
    <row r="178" spans="1:27" ht="15" customHeight="1">
      <c r="A178" s="52"/>
      <c r="B178" s="52"/>
      <c r="C178" s="52"/>
      <c r="D178" s="52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AA178" s="47"/>
    </row>
    <row r="179" spans="1:27" ht="15" customHeight="1">
      <c r="A179" s="52"/>
      <c r="B179" s="52"/>
      <c r="C179" s="52"/>
      <c r="D179" s="52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AA179" s="47"/>
    </row>
    <row r="180" spans="1:27" ht="15" customHeight="1">
      <c r="A180" s="52"/>
      <c r="B180" s="52"/>
      <c r="C180" s="52"/>
      <c r="D180" s="52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AA180" s="47"/>
    </row>
    <row r="181" spans="1:27" ht="15" customHeight="1">
      <c r="A181" s="52"/>
      <c r="B181" s="52"/>
      <c r="C181" s="52"/>
      <c r="D181" s="52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AA181" s="47"/>
    </row>
    <row r="182" spans="1:27" ht="15" customHeight="1">
      <c r="A182" s="52"/>
      <c r="B182" s="52"/>
      <c r="C182" s="52"/>
      <c r="D182" s="52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AA182" s="47"/>
    </row>
    <row r="183" spans="1:27" ht="15" customHeight="1">
      <c r="A183" s="52"/>
      <c r="B183" s="52"/>
      <c r="C183" s="52"/>
      <c r="D183" s="52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AA183" s="47"/>
    </row>
    <row r="184" spans="1:27" ht="15" customHeight="1">
      <c r="A184" s="52"/>
      <c r="B184" s="52"/>
      <c r="C184" s="52"/>
      <c r="D184" s="52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AA184" s="47"/>
    </row>
    <row r="185" spans="1:27" ht="15" customHeight="1">
      <c r="A185" s="52"/>
      <c r="B185" s="52"/>
      <c r="C185" s="52"/>
      <c r="D185" s="52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AA185" s="47"/>
    </row>
    <row r="186" spans="1:27" ht="15" customHeight="1">
      <c r="A186" s="52"/>
      <c r="B186" s="52"/>
      <c r="C186" s="52"/>
      <c r="D186" s="52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AA186" s="47"/>
    </row>
    <row r="187" spans="1:27" ht="15" customHeight="1">
      <c r="A187" s="52"/>
      <c r="B187" s="52"/>
      <c r="C187" s="52"/>
      <c r="D187" s="52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AA187" s="47"/>
    </row>
    <row r="188" spans="1:27" ht="15" customHeight="1">
      <c r="A188" s="52"/>
      <c r="B188" s="52"/>
      <c r="C188" s="52"/>
      <c r="D188" s="52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AA188" s="47"/>
    </row>
    <row r="189" spans="1:27" ht="15" customHeight="1">
      <c r="A189" s="52"/>
      <c r="B189" s="52"/>
      <c r="C189" s="52"/>
      <c r="D189" s="52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AA189" s="47"/>
    </row>
    <row r="190" spans="1:27" ht="15" customHeight="1">
      <c r="A190" s="52"/>
      <c r="B190" s="52"/>
      <c r="C190" s="52"/>
      <c r="D190" s="52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AA190" s="47"/>
    </row>
    <row r="191" spans="1:27" ht="15" customHeight="1">
      <c r="A191" s="52"/>
      <c r="B191" s="52"/>
      <c r="C191" s="52"/>
      <c r="D191" s="52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AA191" s="47"/>
    </row>
    <row r="192" spans="1:27" ht="15" customHeight="1">
      <c r="A192" s="52"/>
      <c r="B192" s="52"/>
      <c r="C192" s="52"/>
      <c r="D192" s="52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AA192" s="47"/>
    </row>
    <row r="193" spans="1:27" ht="15" customHeight="1">
      <c r="A193" s="52"/>
      <c r="B193" s="52"/>
      <c r="C193" s="52"/>
      <c r="D193" s="52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AA193" s="47"/>
    </row>
    <row r="194" spans="1:27" ht="15" customHeight="1">
      <c r="A194" s="52"/>
      <c r="B194" s="52"/>
      <c r="C194" s="52"/>
      <c r="D194" s="52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AA194" s="47"/>
    </row>
    <row r="195" spans="1:27" ht="15" customHeight="1">
      <c r="A195" s="52"/>
      <c r="B195" s="52"/>
      <c r="C195" s="52"/>
      <c r="D195" s="52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AA195" s="47"/>
    </row>
    <row r="196" spans="1:27" ht="15" customHeight="1">
      <c r="A196" s="52"/>
      <c r="B196" s="52"/>
      <c r="C196" s="52"/>
      <c r="D196" s="52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AA196" s="47"/>
    </row>
    <row r="197" spans="1:27" ht="15" customHeight="1">
      <c r="A197" s="52"/>
      <c r="B197" s="52"/>
      <c r="C197" s="52"/>
      <c r="D197" s="52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AA197" s="47"/>
    </row>
    <row r="198" spans="1:27" ht="15" customHeight="1">
      <c r="A198" s="52"/>
      <c r="B198" s="52"/>
      <c r="C198" s="52"/>
      <c r="D198" s="52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AA198" s="47"/>
    </row>
    <row r="199" spans="1:27" ht="15" customHeight="1">
      <c r="A199" s="52"/>
      <c r="B199" s="52"/>
      <c r="C199" s="52"/>
      <c r="D199" s="52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AA199" s="47"/>
    </row>
    <row r="200" spans="1:27" ht="15" customHeight="1">
      <c r="A200" s="52"/>
      <c r="B200" s="52"/>
      <c r="C200" s="52"/>
      <c r="D200" s="52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AA200" s="47"/>
    </row>
    <row r="201" spans="1:27" ht="15" customHeight="1">
      <c r="A201" s="52"/>
      <c r="B201" s="52"/>
      <c r="C201" s="52"/>
      <c r="D201" s="52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AA201" s="47"/>
    </row>
    <row r="202" spans="1:27" ht="15" customHeight="1">
      <c r="A202" s="52"/>
      <c r="B202" s="52"/>
      <c r="C202" s="52"/>
      <c r="D202" s="52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AA202" s="47"/>
    </row>
    <row r="203" spans="1:27" ht="15" customHeight="1">
      <c r="A203" s="52"/>
      <c r="B203" s="52"/>
      <c r="C203" s="52"/>
      <c r="D203" s="52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AA203" s="47"/>
    </row>
    <row r="204" spans="1:27" ht="15" customHeight="1">
      <c r="A204" s="52"/>
      <c r="B204" s="52"/>
      <c r="C204" s="52"/>
      <c r="D204" s="52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AA204" s="47"/>
    </row>
    <row r="205" spans="1:27" ht="15" customHeight="1">
      <c r="A205" s="52"/>
      <c r="B205" s="52"/>
      <c r="C205" s="52"/>
      <c r="D205" s="52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AA205" s="47"/>
    </row>
    <row r="206" spans="1:27" ht="15" customHeight="1"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AA206" s="47"/>
    </row>
    <row r="207" spans="1:27" ht="15" customHeight="1">
      <c r="A207" s="52"/>
      <c r="B207" s="52"/>
      <c r="C207" s="52"/>
      <c r="D207" s="52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AA207" s="47"/>
    </row>
    <row r="208" spans="1:27" ht="15" customHeight="1">
      <c r="A208" s="52"/>
      <c r="B208" s="52"/>
      <c r="C208" s="52"/>
      <c r="D208" s="52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AA208" s="47"/>
    </row>
    <row r="209" spans="1:27" ht="15" customHeight="1">
      <c r="A209" s="52"/>
      <c r="B209" s="52"/>
      <c r="C209" s="52"/>
      <c r="D209" s="52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AA209" s="47"/>
    </row>
    <row r="210" spans="1:27" ht="15" customHeight="1">
      <c r="A210" s="52"/>
      <c r="B210" s="52"/>
      <c r="C210" s="52"/>
      <c r="D210" s="52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AA210" s="47"/>
    </row>
    <row r="211" spans="1:27" ht="15" customHeight="1">
      <c r="A211" s="52"/>
      <c r="B211" s="52"/>
      <c r="C211" s="52"/>
      <c r="D211" s="52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AA211" s="47"/>
    </row>
    <row r="212" spans="1:27" ht="15" customHeight="1">
      <c r="A212" s="52"/>
      <c r="B212" s="52"/>
      <c r="C212" s="52"/>
      <c r="D212" s="52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AA212" s="47"/>
    </row>
    <row r="213" spans="1:27" ht="15" customHeight="1">
      <c r="A213" s="52"/>
      <c r="B213" s="52"/>
      <c r="C213" s="52"/>
      <c r="D213" s="52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AA213" s="47"/>
    </row>
    <row r="214" spans="1:27" ht="15" customHeight="1">
      <c r="A214" s="52"/>
      <c r="B214" s="52"/>
      <c r="C214" s="52"/>
      <c r="D214" s="52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AA214" s="47"/>
    </row>
    <row r="215" spans="1:27" ht="15" customHeight="1">
      <c r="A215" s="52"/>
      <c r="B215" s="52"/>
      <c r="C215" s="52"/>
      <c r="D215" s="52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AA215" s="47"/>
    </row>
    <row r="216" spans="1:27" ht="15" customHeight="1"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AA216" s="47"/>
    </row>
    <row r="217" spans="1:27" ht="15" customHeight="1">
      <c r="A217" s="52"/>
      <c r="B217" s="52"/>
      <c r="C217" s="52"/>
      <c r="D217" s="52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AA217" s="47"/>
    </row>
    <row r="218" spans="1:27" ht="15" customHeight="1">
      <c r="A218" s="52"/>
      <c r="B218" s="52"/>
      <c r="C218" s="52"/>
      <c r="D218" s="52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AA218" s="47"/>
    </row>
    <row r="219" spans="1:27" ht="15" customHeight="1">
      <c r="A219" s="52"/>
      <c r="B219" s="52"/>
      <c r="C219" s="52"/>
      <c r="D219" s="52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AA219" s="47"/>
    </row>
    <row r="220" spans="1:27" ht="15" customHeight="1">
      <c r="A220" s="52"/>
      <c r="B220" s="52"/>
      <c r="C220" s="52"/>
      <c r="D220" s="52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AA220" s="47"/>
    </row>
    <row r="221" spans="1:27" ht="15" customHeight="1">
      <c r="A221" s="52"/>
      <c r="B221" s="52"/>
      <c r="C221" s="52"/>
      <c r="D221" s="52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AA221" s="47"/>
    </row>
    <row r="222" spans="1:27" ht="15" customHeight="1">
      <c r="A222" s="52"/>
      <c r="B222" s="52"/>
      <c r="C222" s="52"/>
      <c r="D222" s="52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AA222" s="47"/>
    </row>
    <row r="223" spans="1:27" ht="15" customHeight="1">
      <c r="A223" s="52"/>
      <c r="B223" s="52"/>
      <c r="C223" s="52"/>
      <c r="D223" s="52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AA223" s="47"/>
    </row>
    <row r="224" spans="1:27" ht="15" customHeight="1">
      <c r="A224" s="52"/>
      <c r="B224" s="52"/>
      <c r="C224" s="52"/>
      <c r="D224" s="52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AA224" s="47"/>
    </row>
    <row r="225" spans="1:27" ht="15" customHeight="1">
      <c r="A225" s="52"/>
      <c r="B225" s="52"/>
      <c r="C225" s="52"/>
      <c r="D225" s="52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AA225" s="47"/>
    </row>
    <row r="226" spans="1:27" ht="15" customHeight="1"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AA226" s="47"/>
    </row>
    <row r="227" spans="1:27" ht="15" customHeight="1">
      <c r="A227" s="52"/>
      <c r="B227" s="52"/>
      <c r="C227" s="52"/>
      <c r="D227" s="52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AA227" s="47"/>
    </row>
    <row r="228" spans="1:27" ht="15" customHeight="1">
      <c r="A228" s="52"/>
      <c r="B228" s="52"/>
      <c r="C228" s="52"/>
      <c r="D228" s="52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AA228" s="47"/>
    </row>
    <row r="229" spans="1:27" ht="15" customHeight="1">
      <c r="A229" s="52"/>
      <c r="B229" s="52"/>
      <c r="C229" s="52"/>
      <c r="D229" s="52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AA229" s="47"/>
    </row>
    <row r="230" spans="1:27" ht="15" customHeight="1">
      <c r="A230" s="52"/>
      <c r="B230" s="52"/>
      <c r="C230" s="52"/>
      <c r="D230" s="52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AA230" s="47"/>
    </row>
    <row r="231" spans="1:27" ht="15" customHeight="1">
      <c r="A231" s="52"/>
      <c r="B231" s="52"/>
      <c r="C231" s="52"/>
      <c r="D231" s="52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AA231" s="47"/>
    </row>
    <row r="232" spans="1:27" ht="15" customHeight="1">
      <c r="A232" s="52"/>
      <c r="B232" s="52"/>
      <c r="C232" s="52"/>
      <c r="D232" s="52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AA232" s="47"/>
    </row>
    <row r="233" spans="1:27" ht="15" customHeight="1">
      <c r="A233" s="52"/>
      <c r="B233" s="52"/>
      <c r="C233" s="52"/>
      <c r="D233" s="52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AA233" s="47"/>
    </row>
    <row r="234" spans="1:27" ht="15" customHeight="1">
      <c r="A234" s="52"/>
      <c r="B234" s="52"/>
      <c r="C234" s="52"/>
      <c r="D234" s="52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AA234" s="47"/>
    </row>
    <row r="235" spans="1:27" ht="15" customHeight="1">
      <c r="A235" s="52"/>
      <c r="B235" s="52"/>
      <c r="C235" s="52"/>
      <c r="D235" s="52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AA235" s="47"/>
    </row>
    <row r="236" spans="1:27" ht="15" customHeight="1"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AA236" s="47"/>
    </row>
    <row r="237" spans="1:27" ht="15" customHeight="1">
      <c r="A237" s="52"/>
      <c r="B237" s="52"/>
      <c r="C237" s="52"/>
      <c r="D237" s="52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AA237" s="47"/>
    </row>
    <row r="238" spans="1:27" ht="15" customHeight="1">
      <c r="A238" s="52"/>
      <c r="B238" s="52"/>
      <c r="C238" s="52"/>
      <c r="D238" s="52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AA238" s="47"/>
    </row>
    <row r="239" spans="1:27" ht="15" customHeight="1">
      <c r="A239" s="52"/>
      <c r="B239" s="52"/>
      <c r="C239" s="52"/>
      <c r="D239" s="52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AA239" s="47"/>
    </row>
    <row r="240" spans="1:27" ht="15" customHeight="1">
      <c r="A240" s="52"/>
      <c r="B240" s="52"/>
      <c r="C240" s="52"/>
      <c r="D240" s="52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AA240" s="47"/>
    </row>
    <row r="241" spans="1:27" ht="15" customHeight="1">
      <c r="A241" s="52"/>
      <c r="B241" s="52"/>
      <c r="C241" s="52"/>
      <c r="D241" s="52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AA241" s="47"/>
    </row>
    <row r="242" spans="1:27" ht="15" customHeight="1">
      <c r="A242" s="52"/>
      <c r="B242" s="52"/>
      <c r="C242" s="52"/>
      <c r="D242" s="52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AA242" s="47"/>
    </row>
    <row r="243" spans="1:27" ht="15" customHeight="1">
      <c r="A243" s="52"/>
      <c r="B243" s="52"/>
      <c r="C243" s="52"/>
      <c r="D243" s="52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AA243" s="47"/>
    </row>
    <row r="244" spans="1:27" ht="15" customHeight="1">
      <c r="A244" s="52"/>
      <c r="B244" s="52"/>
      <c r="C244" s="52"/>
      <c r="D244" s="52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AA244" s="47"/>
    </row>
    <row r="245" spans="1:27" ht="15" customHeight="1">
      <c r="A245" s="52"/>
      <c r="B245" s="52"/>
      <c r="C245" s="52"/>
      <c r="D245" s="52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AA245" s="47"/>
    </row>
    <row r="246" spans="1:27" ht="15" customHeight="1" collapsed="1">
      <c r="A246" s="52"/>
      <c r="B246" s="52"/>
      <c r="C246" s="52"/>
      <c r="D246" s="52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AA246" s="47"/>
    </row>
    <row r="247" spans="1:27" ht="15" customHeight="1">
      <c r="A247" s="52"/>
      <c r="B247" s="52"/>
      <c r="C247" s="52"/>
      <c r="D247" s="52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AA247" s="47"/>
    </row>
    <row r="248" spans="1:27" ht="15" customHeight="1">
      <c r="A248" s="52"/>
      <c r="B248" s="52"/>
      <c r="C248" s="52"/>
      <c r="D248" s="52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AA248" s="47"/>
    </row>
    <row r="249" spans="1:27" ht="15" customHeight="1">
      <c r="A249" s="52"/>
      <c r="B249" s="52"/>
      <c r="C249" s="52"/>
      <c r="D249" s="52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AA249" s="47"/>
    </row>
    <row r="250" spans="1:27" ht="15" customHeight="1" collapsed="1">
      <c r="A250" s="52"/>
      <c r="B250" s="52"/>
      <c r="C250" s="52"/>
      <c r="D250" s="52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AA250" s="47"/>
    </row>
    <row r="251" spans="1:27" ht="15" customHeight="1">
      <c r="A251" s="52"/>
      <c r="B251" s="52"/>
      <c r="C251" s="52"/>
      <c r="D251" s="52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AA251" s="47"/>
    </row>
    <row r="252" spans="1:27" ht="15" customHeight="1">
      <c r="A252" s="52"/>
      <c r="B252" s="52"/>
      <c r="C252" s="52"/>
      <c r="D252" s="52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AA252" s="47"/>
    </row>
    <row r="253" spans="1:27" ht="15" customHeight="1">
      <c r="A253" s="52"/>
      <c r="B253" s="52"/>
      <c r="C253" s="52"/>
      <c r="D253" s="52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AA253" s="47"/>
    </row>
    <row r="254" spans="1:27" ht="15" customHeight="1" collapsed="1">
      <c r="A254" s="52"/>
      <c r="B254" s="52"/>
      <c r="C254" s="52"/>
      <c r="D254" s="52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AA254" s="47"/>
    </row>
    <row r="255" spans="1:27" ht="15" customHeight="1">
      <c r="A255" s="52"/>
      <c r="B255" s="52"/>
      <c r="C255" s="52"/>
      <c r="D255" s="52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AA255" s="47"/>
    </row>
    <row r="256" spans="1:27" ht="15" customHeight="1">
      <c r="A256" s="52"/>
      <c r="B256" s="52"/>
      <c r="C256" s="52"/>
      <c r="D256" s="52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AA256" s="47"/>
    </row>
    <row r="257" spans="1:27" ht="15" customHeight="1">
      <c r="A257" s="52"/>
      <c r="B257" s="52"/>
      <c r="C257" s="52"/>
      <c r="D257" s="52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AA257" s="47"/>
    </row>
    <row r="258" spans="1:27" ht="15" customHeight="1" collapsed="1">
      <c r="A258" s="52"/>
      <c r="B258" s="52"/>
      <c r="C258" s="52"/>
      <c r="D258" s="52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AA258" s="47"/>
    </row>
    <row r="259" spans="1:27" ht="15" customHeight="1">
      <c r="A259" s="52"/>
      <c r="B259" s="52"/>
      <c r="C259" s="52"/>
      <c r="D259" s="52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AA259" s="47"/>
    </row>
    <row r="260" spans="1:27" ht="15" customHeight="1">
      <c r="A260" s="52"/>
      <c r="B260" s="52"/>
      <c r="C260" s="52"/>
      <c r="D260" s="52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AA260" s="47"/>
    </row>
    <row r="261" spans="1:27" ht="15" customHeight="1">
      <c r="A261" s="52"/>
      <c r="B261" s="52"/>
      <c r="C261" s="52"/>
      <c r="D261" s="52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AA261" s="47"/>
    </row>
    <row r="262" spans="1:27" ht="15" customHeight="1">
      <c r="A262" s="52"/>
      <c r="B262" s="52"/>
      <c r="C262" s="52"/>
      <c r="D262" s="52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AA262" s="47"/>
    </row>
    <row r="263" spans="1:27" ht="15" customHeight="1">
      <c r="A263" s="52"/>
      <c r="B263" s="52"/>
      <c r="C263" s="52"/>
      <c r="D263" s="52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AA263" s="47"/>
    </row>
    <row r="264" spans="1:27" ht="15" customHeight="1">
      <c r="A264" s="52"/>
      <c r="B264" s="52"/>
      <c r="C264" s="52"/>
      <c r="D264" s="52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AA264" s="47"/>
    </row>
    <row r="265" spans="1:27" ht="15" customHeight="1">
      <c r="A265" s="52"/>
      <c r="B265" s="52"/>
      <c r="C265" s="52"/>
      <c r="D265" s="52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AA265" s="47"/>
    </row>
    <row r="266" spans="1:27" ht="15" customHeight="1">
      <c r="A266" s="52"/>
      <c r="B266" s="52"/>
      <c r="C266" s="52"/>
      <c r="D266" s="52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AA266" s="47"/>
    </row>
    <row r="267" spans="1:27" ht="15" customHeight="1">
      <c r="A267" s="52"/>
      <c r="B267" s="52"/>
      <c r="C267" s="52"/>
      <c r="D267" s="52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AA267" s="47"/>
    </row>
    <row r="268" spans="1:27" ht="15" customHeight="1">
      <c r="A268" s="52"/>
      <c r="B268" s="52"/>
      <c r="C268" s="52"/>
      <c r="D268" s="52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AA268" s="47"/>
    </row>
    <row r="269" spans="1:27" ht="15" customHeight="1">
      <c r="A269" s="52"/>
      <c r="B269" s="52"/>
      <c r="C269" s="52"/>
      <c r="D269" s="52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AA269" s="47"/>
    </row>
    <row r="270" spans="1:27" ht="15" customHeight="1">
      <c r="A270" s="52"/>
      <c r="B270" s="52"/>
      <c r="C270" s="52"/>
      <c r="D270" s="52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AA270" s="47"/>
    </row>
    <row r="271" spans="1:27" ht="15" customHeight="1">
      <c r="A271" s="52"/>
      <c r="B271" s="52"/>
      <c r="C271" s="52"/>
      <c r="D271" s="52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AA271" s="47"/>
    </row>
    <row r="272" spans="1:27" ht="15" customHeight="1">
      <c r="A272" s="52"/>
      <c r="B272" s="52"/>
      <c r="C272" s="52"/>
      <c r="D272" s="52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AA272" s="47"/>
    </row>
    <row r="273" spans="5:27"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AA273" s="47"/>
    </row>
    <row r="274" spans="5:27"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AA274" s="47"/>
    </row>
    <row r="275" spans="5:27"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AA275" s="47"/>
    </row>
    <row r="276" spans="5:27"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AA276" s="47"/>
    </row>
    <row r="277" spans="5:27"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AA277" s="47"/>
    </row>
    <row r="278" spans="5:27"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AA278" s="47"/>
    </row>
    <row r="279" spans="5:27"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AA279" s="47"/>
    </row>
    <row r="280" spans="5:27"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AA280" s="47"/>
    </row>
    <row r="281" spans="5:27"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AA281" s="47"/>
    </row>
    <row r="282" spans="5:27"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AA282" s="47"/>
    </row>
    <row r="283" spans="5:27"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AA283" s="47"/>
    </row>
    <row r="284" spans="5:27"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AA284" s="47"/>
    </row>
    <row r="285" spans="5:27"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AA285" s="47"/>
    </row>
    <row r="286" spans="5:27"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AA286" s="47"/>
    </row>
    <row r="287" spans="5:27"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AA287" s="47"/>
    </row>
    <row r="288" spans="5:27"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AA288" s="47"/>
    </row>
    <row r="289" spans="5:27"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AA289" s="47"/>
    </row>
    <row r="290" spans="5:27"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AA290" s="47"/>
    </row>
    <row r="291" spans="5:27"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AA291" s="47"/>
    </row>
    <row r="292" spans="5:27"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AA292" s="47"/>
    </row>
    <row r="293" spans="5:27"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AA293" s="47"/>
    </row>
    <row r="294" spans="5:27"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AA294" s="47"/>
    </row>
    <row r="295" spans="5:27"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AA295" s="47"/>
    </row>
    <row r="296" spans="5:27"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AA296" s="47"/>
    </row>
    <row r="297" spans="5:27"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AA297" s="47"/>
    </row>
    <row r="298" spans="5:27"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AA298" s="47"/>
    </row>
    <row r="299" spans="5:27"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AA299" s="47"/>
    </row>
    <row r="300" spans="5:27"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AA300" s="47"/>
    </row>
    <row r="301" spans="5:27"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AA301" s="47"/>
    </row>
    <row r="302" spans="5:27"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AA302" s="47"/>
    </row>
    <row r="303" spans="5:27"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AA303" s="47"/>
    </row>
    <row r="304" spans="5:27"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AA304" s="47"/>
    </row>
    <row r="305" spans="5:27"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AA305" s="47"/>
    </row>
    <row r="306" spans="5:27"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AA306" s="47"/>
    </row>
    <row r="307" spans="5:27"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AA307" s="47"/>
    </row>
    <row r="308" spans="5:27"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AA308" s="47"/>
    </row>
    <row r="309" spans="5:27"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AA309" s="47"/>
    </row>
    <row r="310" spans="5:27"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AA310" s="47"/>
    </row>
    <row r="311" spans="5:27"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AA311" s="47"/>
    </row>
    <row r="312" spans="5:27"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AA312" s="47"/>
    </row>
    <row r="313" spans="5:27"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AA313" s="47"/>
    </row>
    <row r="314" spans="5:27"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AA314" s="47"/>
    </row>
    <row r="315" spans="5:27"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AA315" s="47"/>
    </row>
    <row r="316" spans="5:27"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AA316" s="47"/>
    </row>
    <row r="317" spans="5:27"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AA317" s="47"/>
    </row>
    <row r="318" spans="5:27"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AA318" s="47"/>
    </row>
    <row r="319" spans="5:27"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AA319" s="47"/>
    </row>
    <row r="320" spans="5:27"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AA320" s="47"/>
    </row>
    <row r="321" spans="5:27"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AA321" s="47"/>
    </row>
    <row r="322" spans="5:27"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AA322" s="47"/>
    </row>
    <row r="323" spans="5:27"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AA323" s="47"/>
    </row>
    <row r="324" spans="5:27"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AA324" s="47"/>
    </row>
    <row r="325" spans="5:27"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AA325" s="47"/>
    </row>
    <row r="326" spans="5:27"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AA326" s="47"/>
    </row>
    <row r="327" spans="5:27"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AA327" s="47"/>
    </row>
    <row r="328" spans="5:27"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AA328" s="47"/>
    </row>
    <row r="329" spans="5:27"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AA329" s="47"/>
    </row>
    <row r="330" spans="5:27"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AA330" s="47"/>
    </row>
    <row r="331" spans="5:27"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AA331" s="47"/>
    </row>
    <row r="332" spans="5:27"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AA332" s="47"/>
    </row>
    <row r="333" spans="5:27"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AA333" s="47"/>
    </row>
    <row r="334" spans="5:27"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AA334" s="47"/>
    </row>
    <row r="335" spans="5:27"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AA335" s="47"/>
    </row>
    <row r="336" spans="5:27"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AA336" s="47"/>
    </row>
    <row r="337" spans="5:27"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AA337" s="47"/>
    </row>
    <row r="338" spans="5:27"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AA338" s="47"/>
    </row>
    <row r="339" spans="5:27"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AA339" s="47"/>
    </row>
    <row r="340" spans="5:27"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AA340" s="47"/>
    </row>
    <row r="341" spans="5:27"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AA341" s="47"/>
    </row>
    <row r="342" spans="5:27"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AA342" s="47"/>
    </row>
    <row r="343" spans="5:27"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AA343" s="47"/>
    </row>
    <row r="344" spans="5:27"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AA344" s="47"/>
    </row>
    <row r="345" spans="5:27"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AA345" s="47"/>
    </row>
    <row r="346" spans="5:27"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AA346" s="47"/>
    </row>
    <row r="347" spans="5:27"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AA347" s="47"/>
    </row>
    <row r="348" spans="5:27"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AA348" s="47"/>
    </row>
    <row r="349" spans="5:27"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AA349" s="47"/>
    </row>
    <row r="350" spans="5:27"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AA350" s="47"/>
    </row>
    <row r="351" spans="5:27"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AA351" s="47"/>
    </row>
    <row r="352" spans="5:27"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AA352" s="47"/>
    </row>
    <row r="353" spans="5:27"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AA353" s="47"/>
    </row>
    <row r="354" spans="5:27"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AA354" s="47"/>
    </row>
    <row r="355" spans="5:27"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AA355" s="47"/>
    </row>
    <row r="356" spans="5:27"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AA356" s="47"/>
    </row>
    <row r="357" spans="5:27"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AA357" s="47"/>
    </row>
    <row r="358" spans="5:27"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AA358" s="47"/>
    </row>
    <row r="359" spans="5:27"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AA359" s="47"/>
    </row>
    <row r="360" spans="5:27"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AA360" s="47"/>
    </row>
    <row r="361" spans="5:27"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AA361" s="47"/>
    </row>
    <row r="362" spans="5:27"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AA362" s="47"/>
    </row>
    <row r="363" spans="5:27"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AA363" s="47"/>
    </row>
    <row r="364" spans="5:27"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AA364" s="47"/>
    </row>
    <row r="365" spans="5:27"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AA365" s="47"/>
    </row>
    <row r="366" spans="5:27"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AA366" s="47"/>
    </row>
    <row r="367" spans="5:27"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AA367" s="47"/>
    </row>
    <row r="368" spans="5:27"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AA368" s="47"/>
    </row>
    <row r="369" spans="5:27"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AA369" s="47"/>
    </row>
    <row r="370" spans="5:27"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AA370" s="47"/>
    </row>
    <row r="371" spans="5:27"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AA371" s="47"/>
    </row>
    <row r="372" spans="5:27"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AA372" s="47"/>
    </row>
    <row r="373" spans="5:27"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AA373" s="47"/>
    </row>
    <row r="374" spans="5:27"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AA374" s="47"/>
    </row>
    <row r="375" spans="5:27"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AA375" s="47"/>
    </row>
    <row r="376" spans="5:27"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AA376" s="47"/>
    </row>
    <row r="377" spans="5:27"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AA377" s="47"/>
    </row>
    <row r="378" spans="5:27"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AA378" s="47"/>
    </row>
    <row r="379" spans="5:27"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AA379" s="47"/>
    </row>
    <row r="380" spans="5:27"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AA380" s="47"/>
    </row>
    <row r="381" spans="5:27"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AA381" s="47"/>
    </row>
    <row r="382" spans="5:27"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AA382" s="47"/>
    </row>
    <row r="383" spans="5:27"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AA383" s="47"/>
    </row>
    <row r="384" spans="5:27"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AA384" s="47"/>
    </row>
    <row r="385" spans="5:27"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AA385" s="47"/>
    </row>
    <row r="386" spans="5:27"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AA386" s="47"/>
    </row>
    <row r="387" spans="5:27"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AA387" s="47"/>
    </row>
    <row r="388" spans="5:27"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AA388" s="47"/>
    </row>
    <row r="389" spans="5:27"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AA389" s="47"/>
    </row>
    <row r="390" spans="5:27"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AA390" s="47"/>
    </row>
    <row r="391" spans="5:27"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AA391" s="47"/>
    </row>
    <row r="392" spans="5:27"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AA392" s="47"/>
    </row>
    <row r="393" spans="5:27"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AA393" s="47"/>
    </row>
    <row r="394" spans="5:27"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AA394" s="47"/>
    </row>
    <row r="395" spans="5:27"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AA395" s="47"/>
    </row>
    <row r="396" spans="5:27"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AA396" s="47"/>
    </row>
    <row r="397" spans="5:27"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AA397" s="47"/>
    </row>
  </sheetData>
  <sheetProtection password="FA9C" sheet="1" objects="1" scenarios="1" formatColumns="0" formatRows="0"/>
  <mergeCells count="65">
    <mergeCell ref="BA40:BB41"/>
    <mergeCell ref="AT42:AT43"/>
    <mergeCell ref="AS40:AT41"/>
    <mergeCell ref="AU40:AV41"/>
    <mergeCell ref="AS42:AS43"/>
    <mergeCell ref="AH42:AH43"/>
    <mergeCell ref="AG40:AH41"/>
    <mergeCell ref="AA40:AA43"/>
    <mergeCell ref="AK42:AK43"/>
    <mergeCell ref="AF42:AF43"/>
    <mergeCell ref="AB40:AB43"/>
    <mergeCell ref="AE40:AF41"/>
    <mergeCell ref="AG42:AG43"/>
    <mergeCell ref="Y40:Y43"/>
    <mergeCell ref="AD40:AD43"/>
    <mergeCell ref="AC40:AC43"/>
    <mergeCell ref="Z40:Z43"/>
    <mergeCell ref="N40:N43"/>
    <mergeCell ref="O40:O43"/>
    <mergeCell ref="P40:P43"/>
    <mergeCell ref="Q40:Q43"/>
    <mergeCell ref="S40:S43"/>
    <mergeCell ref="V40:V43"/>
    <mergeCell ref="U40:U43"/>
    <mergeCell ref="W40:W43"/>
    <mergeCell ref="T40:T43"/>
    <mergeCell ref="G40:G43"/>
    <mergeCell ref="I40:I43"/>
    <mergeCell ref="J40:J43"/>
    <mergeCell ref="K40:K43"/>
    <mergeCell ref="R40:R43"/>
    <mergeCell ref="L40:L43"/>
    <mergeCell ref="M40:M43"/>
    <mergeCell ref="AM42:AM43"/>
    <mergeCell ref="AN42:AN43"/>
    <mergeCell ref="AP42:AP43"/>
    <mergeCell ref="BG40:BJ43"/>
    <mergeCell ref="BC40:BD41"/>
    <mergeCell ref="BE40:BE43"/>
    <mergeCell ref="BF40:BF43"/>
    <mergeCell ref="BC42:BC43"/>
    <mergeCell ref="BD42:BD43"/>
    <mergeCell ref="BB42:BB43"/>
    <mergeCell ref="AW42:AW43"/>
    <mergeCell ref="BA42:BA43"/>
    <mergeCell ref="AY42:AY43"/>
    <mergeCell ref="AO40:AP41"/>
    <mergeCell ref="AO42:AO43"/>
    <mergeCell ref="AR42:AR43"/>
    <mergeCell ref="AB10:AC10"/>
    <mergeCell ref="AQ42:AQ43"/>
    <mergeCell ref="AY40:AZ41"/>
    <mergeCell ref="AW40:AX41"/>
    <mergeCell ref="AE42:AE43"/>
    <mergeCell ref="AU42:AU43"/>
    <mergeCell ref="AV42:AV43"/>
    <mergeCell ref="AX42:AX43"/>
    <mergeCell ref="AZ42:AZ43"/>
    <mergeCell ref="AJ42:AJ43"/>
    <mergeCell ref="AI40:AJ41"/>
    <mergeCell ref="AI42:AI43"/>
    <mergeCell ref="AQ40:AR41"/>
    <mergeCell ref="AM40:AN41"/>
    <mergeCell ref="AK40:AL41"/>
    <mergeCell ref="AL42:AL43"/>
  </mergeCells>
  <phoneticPr fontId="34" type="noConversion"/>
  <hyperlinks>
    <hyperlink ref="AK38" location="'ВД'!A1" tooltip="Отобразить / Скрыть блок" display="+"/>
    <hyperlink ref="AQ38" location="'ВД'!A1" tooltip="Отобразить / Скрыть блок" display="+"/>
    <hyperlink ref="AW38" location="'ВД'!A1" tooltip="Отобразить / Скрыть блок" display="+"/>
    <hyperlink ref="BC38" location="'ВД'!A1" tooltip="Отобразить / Скрыть блок" display="+"/>
  </hyperlinks>
  <pageMargins left="0.74803149606299213" right="0.74803149606299213" top="0.15748031496062992" bottom="0.23622047244094491" header="0.19685039370078741" footer="0.23622047244094491"/>
  <pageSetup paperSize="9" scale="60" orientation="portrait" r:id="rId1"/>
  <headerFooter alignWithMargins="0"/>
  <drawing r:id="rId2"/>
  <legacyDrawing r:id="rId3"/>
  <controls>
    <control shapeId="155649" r:id="rId4" name="cmdStub"/>
  </controls>
</worksheet>
</file>

<file path=xl/worksheets/sheet9.xml><?xml version="1.0" encoding="utf-8"?>
<worksheet xmlns="http://schemas.openxmlformats.org/spreadsheetml/2006/main" xmlns:r="http://schemas.openxmlformats.org/officeDocument/2006/relationships">
  <sheetPr codeName="FUEL">
    <tabColor rgb="FFFFFF00"/>
    <outlinePr summaryBelow="0"/>
  </sheetPr>
  <dimension ref="A1:GM417"/>
  <sheetViews>
    <sheetView showGridLines="0" tabSelected="1" topLeftCell="F1" zoomScale="90" zoomScaleNormal="90" workbookViewId="0">
      <pane xSplit="25" ySplit="45" topLeftCell="AI46" activePane="bottomRight" state="frozen"/>
      <selection activeCell="F5" sqref="F5"/>
      <selection pane="topRight" activeCell="AE5" sqref="AE5"/>
      <selection pane="bottomLeft" activeCell="F46" sqref="F46"/>
      <selection pane="bottomRight" activeCell="AR86" sqref="AR86"/>
    </sheetView>
  </sheetViews>
  <sheetFormatPr defaultColWidth="8.7109375" defaultRowHeight="11.25"/>
  <cols>
    <col min="1" max="4" width="5.7109375" style="47" hidden="1" customWidth="1"/>
    <col min="5" max="5" width="2.85546875" style="47" hidden="1" customWidth="1"/>
    <col min="6" max="6" width="1.28515625" style="48" customWidth="1"/>
    <col min="7" max="7" width="4.7109375" style="49" customWidth="1"/>
    <col min="8" max="8" width="3.7109375" style="49" customWidth="1"/>
    <col min="9" max="9" width="6.7109375" style="47" customWidth="1"/>
    <col min="10" max="11" width="5.7109375" style="47" customWidth="1"/>
    <col min="12" max="14" width="3.7109375" style="47" customWidth="1"/>
    <col min="15" max="15" width="10.7109375" style="47" customWidth="1"/>
    <col min="16" max="16" width="22.7109375" style="47" hidden="1" customWidth="1"/>
    <col min="17" max="17" width="15.7109375" style="47" hidden="1" customWidth="1"/>
    <col min="18" max="18" width="17.7109375" style="47" hidden="1" customWidth="1"/>
    <col min="19" max="19" width="18.7109375" style="47" hidden="1" customWidth="1"/>
    <col min="20" max="20" width="12.7109375" style="47" hidden="1" customWidth="1"/>
    <col min="21" max="21" width="13.85546875" style="47" hidden="1" customWidth="1"/>
    <col min="22" max="24" width="1.28515625" style="47" hidden="1" customWidth="1"/>
    <col min="25" max="25" width="9.7109375" style="47" hidden="1" customWidth="1"/>
    <col min="26" max="26" width="3.5703125" style="47" customWidth="1"/>
    <col min="27" max="27" width="3.5703125" style="49" customWidth="1"/>
    <col min="28" max="28" width="14.85546875" style="47" customWidth="1"/>
    <col min="29" max="29" width="17.85546875" style="47" customWidth="1"/>
    <col min="30" max="30" width="27.7109375" style="47" hidden="1" customWidth="1"/>
    <col min="31" max="36" width="12.7109375" style="47" customWidth="1"/>
    <col min="37" max="39" width="14.7109375" style="47" customWidth="1"/>
    <col min="40" max="43" width="12.7109375" style="47" customWidth="1"/>
    <col min="44" max="44" width="18.85546875" style="47" customWidth="1"/>
    <col min="45" max="61" width="12.7109375" style="47" customWidth="1"/>
    <col min="62" max="62" width="19.5703125" style="47" customWidth="1"/>
    <col min="63" max="70" width="12.7109375" style="47" customWidth="1"/>
    <col min="71" max="73" width="14.7109375" style="47" customWidth="1"/>
    <col min="74" max="77" width="12.7109375" style="47" customWidth="1"/>
    <col min="78" max="78" width="18.85546875" style="47" customWidth="1"/>
    <col min="79" max="95" width="12.7109375" style="47" customWidth="1"/>
    <col min="96" max="96" width="19.5703125" style="47" customWidth="1"/>
    <col min="97" max="104" width="12.7109375" style="47" customWidth="1"/>
    <col min="105" max="107" width="14.7109375" style="47" customWidth="1"/>
    <col min="108" max="111" width="12.7109375" style="47" customWidth="1"/>
    <col min="112" max="112" width="18.85546875" style="47" customWidth="1"/>
    <col min="113" max="129" width="12.7109375" style="47" customWidth="1"/>
    <col min="130" max="130" width="19.5703125" style="47" customWidth="1"/>
    <col min="131" max="138" width="12.7109375" style="47" customWidth="1"/>
    <col min="139" max="141" width="14.7109375" style="47" customWidth="1"/>
    <col min="142" max="145" width="12.7109375" style="47" customWidth="1"/>
    <col min="146" max="146" width="18.85546875" style="47" customWidth="1"/>
    <col min="147" max="163" width="12.7109375" style="47" customWidth="1"/>
    <col min="164" max="164" width="19.5703125" style="47" customWidth="1"/>
    <col min="165" max="166" width="12.7109375" style="47" customWidth="1"/>
    <col min="167" max="169" width="8.7109375" style="47" hidden="1" customWidth="1"/>
    <col min="170" max="170" width="40.7109375" style="47" customWidth="1"/>
    <col min="171" max="171" width="30.85546875" style="47" customWidth="1"/>
    <col min="172" max="172" width="30.7109375" style="47" customWidth="1"/>
    <col min="173" max="173" width="30.85546875" style="47" customWidth="1"/>
    <col min="174" max="174" width="30.7109375" style="47" customWidth="1"/>
    <col min="175" max="175" width="4.7109375" style="47" customWidth="1"/>
    <col min="176" max="177" width="23.7109375" style="47" customWidth="1"/>
    <col min="178" max="180" width="25.7109375" style="47" customWidth="1"/>
    <col min="181" max="181" width="7.7109375" style="47" customWidth="1"/>
    <col min="182" max="183" width="2.7109375" style="47" customWidth="1"/>
    <col min="184" max="185" width="8.7109375" style="47"/>
    <col min="186" max="190" width="0" style="47" hidden="1" customWidth="1"/>
    <col min="191" max="191" width="90.7109375" style="47" hidden="1" customWidth="1"/>
    <col min="192" max="16384" width="8.7109375" style="47"/>
  </cols>
  <sheetData>
    <row r="1" spans="1:182" ht="13.5" hidden="1" customHeight="1">
      <c r="A1" s="47" t="s">
        <v>1526</v>
      </c>
    </row>
    <row r="2" spans="1:182" ht="13.5" hidden="1" customHeight="1"/>
    <row r="3" spans="1:182" ht="13.5" hidden="1" customHeight="1"/>
    <row r="4" spans="1:182" ht="13.5" hidden="1" customHeight="1">
      <c r="FK4"/>
      <c r="FL4"/>
      <c r="FM4"/>
      <c r="FN4"/>
      <c r="FO4"/>
      <c r="FP4"/>
      <c r="FQ4"/>
      <c r="FR4"/>
    </row>
    <row r="5" spans="1:182" ht="3" customHeight="1">
      <c r="F5" s="68"/>
      <c r="G5" s="73"/>
      <c r="H5" s="73"/>
      <c r="I5" s="144"/>
      <c r="J5" s="68"/>
      <c r="K5" s="68"/>
      <c r="L5" s="68"/>
      <c r="M5" s="68"/>
      <c r="N5" s="68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64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/>
      <c r="FL5"/>
      <c r="FM5"/>
      <c r="FN5"/>
      <c r="FO5"/>
      <c r="FP5"/>
      <c r="FQ5"/>
      <c r="FR5"/>
      <c r="FS5" s="56"/>
      <c r="FT5" s="56"/>
      <c r="FU5" s="56"/>
      <c r="FV5" s="56"/>
      <c r="FW5" s="56"/>
      <c r="FX5" s="56"/>
      <c r="FY5" s="56"/>
      <c r="FZ5" s="56"/>
    </row>
    <row r="6" spans="1:182" s="145" customFormat="1" ht="15" customHeight="1">
      <c r="F6" s="146"/>
      <c r="G6" s="146"/>
      <c r="H6" s="147"/>
      <c r="I6" s="241" t="str">
        <f>"Информация о фактически сложившихся ценах и объёмах потребления топлива по итогам " &amp; CURRENT_PRD &amp; " " &amp; god &amp; " года. " &amp; "Субъект Российской Федерации: " &amp; region_name</f>
        <v>Информация о фактически сложившихся ценах и объёмах потребления топлива по итогам 12 месяцев 2014 года. Субъект Российской Федерации: Ставропольский край</v>
      </c>
      <c r="J6" s="239"/>
      <c r="K6" s="239"/>
      <c r="L6" s="239"/>
      <c r="M6" s="239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146"/>
      <c r="FE6" s="146"/>
      <c r="FF6" s="146"/>
      <c r="FG6" s="146"/>
      <c r="FH6" s="146"/>
      <c r="FI6" s="146"/>
      <c r="FJ6" s="146"/>
      <c r="FK6"/>
      <c r="FL6"/>
      <c r="FM6"/>
      <c r="FN6"/>
      <c r="FO6"/>
      <c r="FP6"/>
      <c r="FQ6"/>
      <c r="FR6"/>
      <c r="FS6" s="217"/>
      <c r="FT6" s="234"/>
      <c r="FU6" s="234"/>
      <c r="FV6" s="234"/>
      <c r="FW6" s="234"/>
      <c r="FX6" s="234"/>
      <c r="FY6" s="234"/>
      <c r="FZ6" s="146"/>
    </row>
    <row r="7" spans="1:182" s="145" customFormat="1" ht="0.75" customHeight="1">
      <c r="F7" s="146"/>
      <c r="G7" s="146"/>
      <c r="H7" s="147"/>
      <c r="I7" s="285" t="str">
        <f>"Субъект Российской Федерации: " &amp; region_name</f>
        <v>Субъект Российской Федерации: Ставропольский край</v>
      </c>
      <c r="J7" s="84"/>
      <c r="K7" s="84"/>
      <c r="L7" s="84"/>
      <c r="M7" s="84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9"/>
      <c r="AB7" s="447" t="s">
        <v>1605</v>
      </c>
      <c r="AC7" s="447" t="s">
        <v>1668</v>
      </c>
      <c r="AD7" s="497"/>
      <c r="AE7" s="451" t="str">
        <f>"Фактические величины показателей по итогам 12 месяцев " &amp; IF(god="","Не определено",god) &amp; " года"</f>
        <v>Фактические величины показателей по итогам 12 месяцев 2014 года</v>
      </c>
      <c r="AF7" s="451"/>
      <c r="AG7" s="451"/>
      <c r="AH7" s="451"/>
      <c r="AI7" s="451"/>
      <c r="AJ7" s="451"/>
      <c r="AK7" s="451"/>
      <c r="AL7" s="451"/>
      <c r="AM7" s="451"/>
      <c r="AN7" s="451"/>
      <c r="AO7" s="451"/>
      <c r="AP7" s="451"/>
      <c r="AQ7" s="451"/>
      <c r="AR7" s="451"/>
      <c r="AS7" s="451"/>
      <c r="AT7" s="451"/>
      <c r="AU7" s="451"/>
      <c r="AV7" s="451"/>
      <c r="AW7" s="451"/>
      <c r="AX7" s="451"/>
      <c r="AY7" s="451"/>
      <c r="AZ7" s="451"/>
      <c r="BA7" s="451"/>
      <c r="BB7" s="451"/>
      <c r="BC7" s="451"/>
      <c r="BD7" s="451"/>
      <c r="BE7" s="451"/>
      <c r="BF7" s="451"/>
      <c r="BG7" s="451"/>
      <c r="BH7" s="451"/>
      <c r="BI7" s="451"/>
      <c r="BJ7" s="451"/>
      <c r="BK7" s="451"/>
      <c r="BL7" s="451"/>
      <c r="BM7" s="451" t="str">
        <f>"Фактические величины показателей по итогам 9 месяцев " &amp; IF(god="","Не определено",god) &amp; " года"</f>
        <v>Фактические величины показателей по итогам 9 месяцев 2014 года</v>
      </c>
      <c r="BN7" s="451"/>
      <c r="BO7" s="451"/>
      <c r="BP7" s="451"/>
      <c r="BQ7" s="451"/>
      <c r="BR7" s="451"/>
      <c r="BS7" s="451"/>
      <c r="BT7" s="451"/>
      <c r="BU7" s="451"/>
      <c r="BV7" s="451"/>
      <c r="BW7" s="451"/>
      <c r="BX7" s="451"/>
      <c r="BY7" s="451"/>
      <c r="BZ7" s="451"/>
      <c r="CA7" s="451"/>
      <c r="CB7" s="451"/>
      <c r="CC7" s="451"/>
      <c r="CD7" s="451"/>
      <c r="CE7" s="451"/>
      <c r="CF7" s="451"/>
      <c r="CG7" s="451"/>
      <c r="CH7" s="451"/>
      <c r="CI7" s="451"/>
      <c r="CJ7" s="451"/>
      <c r="CK7" s="451"/>
      <c r="CL7" s="451"/>
      <c r="CM7" s="451"/>
      <c r="CN7" s="451"/>
      <c r="CO7" s="451"/>
      <c r="CP7" s="451"/>
      <c r="CQ7" s="451"/>
      <c r="CR7" s="451"/>
      <c r="CS7" s="451"/>
      <c r="CT7" s="451"/>
      <c r="CU7" s="451" t="str">
        <f>"Фактические величины показателей по итогам I полугодия " &amp; IF(god="","Не определено",god) &amp; " года"</f>
        <v>Фактические величины показателей по итогам I полугодия 2014 года</v>
      </c>
      <c r="CV7" s="451"/>
      <c r="CW7" s="451"/>
      <c r="CX7" s="451"/>
      <c r="CY7" s="451"/>
      <c r="CZ7" s="451"/>
      <c r="DA7" s="451"/>
      <c r="DB7" s="451"/>
      <c r="DC7" s="451"/>
      <c r="DD7" s="451"/>
      <c r="DE7" s="451"/>
      <c r="DF7" s="451"/>
      <c r="DG7" s="451"/>
      <c r="DH7" s="451"/>
      <c r="DI7" s="451"/>
      <c r="DJ7" s="451"/>
      <c r="DK7" s="451"/>
      <c r="DL7" s="451"/>
      <c r="DM7" s="451"/>
      <c r="DN7" s="451"/>
      <c r="DO7" s="451"/>
      <c r="DP7" s="451"/>
      <c r="DQ7" s="451"/>
      <c r="DR7" s="451"/>
      <c r="DS7" s="451"/>
      <c r="DT7" s="451"/>
      <c r="DU7" s="451"/>
      <c r="DV7" s="451"/>
      <c r="DW7" s="451"/>
      <c r="DX7" s="451"/>
      <c r="DY7" s="451"/>
      <c r="DZ7" s="451"/>
      <c r="EA7" s="451"/>
      <c r="EB7" s="451"/>
      <c r="EC7" s="451" t="str">
        <f>"Фактические величины показателей по итогам I квартала " &amp; IF(god="","Не определено",god) &amp; " года"</f>
        <v>Фактические величины показателей по итогам I квартала 2014 года</v>
      </c>
      <c r="ED7" s="451"/>
      <c r="EE7" s="451"/>
      <c r="EF7" s="451"/>
      <c r="EG7" s="451"/>
      <c r="EH7" s="451"/>
      <c r="EI7" s="451"/>
      <c r="EJ7" s="451"/>
      <c r="EK7" s="451"/>
      <c r="EL7" s="451"/>
      <c r="EM7" s="451"/>
      <c r="EN7" s="451"/>
      <c r="EO7" s="451"/>
      <c r="EP7" s="451"/>
      <c r="EQ7" s="451"/>
      <c r="ER7" s="451"/>
      <c r="ES7" s="451"/>
      <c r="ET7" s="451"/>
      <c r="EU7" s="451"/>
      <c r="EV7" s="451"/>
      <c r="EW7" s="451"/>
      <c r="EX7" s="451"/>
      <c r="EY7" s="451"/>
      <c r="EZ7" s="451"/>
      <c r="FA7" s="451"/>
      <c r="FB7" s="451"/>
      <c r="FC7" s="451"/>
      <c r="FD7" s="451"/>
      <c r="FE7" s="451"/>
      <c r="FF7" s="451"/>
      <c r="FG7" s="451"/>
      <c r="FH7" s="451"/>
      <c r="FI7" s="451"/>
      <c r="FJ7" s="451"/>
      <c r="FK7"/>
      <c r="FL7"/>
      <c r="FM7"/>
      <c r="FN7"/>
      <c r="FO7"/>
      <c r="FP7"/>
      <c r="FQ7"/>
      <c r="FR7"/>
      <c r="FS7" s="217"/>
      <c r="FT7" s="450" t="s">
        <v>1605</v>
      </c>
      <c r="FU7" s="450" t="s">
        <v>1668</v>
      </c>
      <c r="FV7" s="489" t="str">
        <f>"Данные из отчёта по теплоснабжению (SUMMARY.BALANCE.CALC.TARIFF.WARM.2014YEAR) план " &amp; IF(god="","Не определено",god) &amp; " (данные по региону в целом)"</f>
        <v>Данные из отчёта по теплоснабжению (SUMMARY.BALANCE.CALC.TARIFF.WARM.2014YEAR) план 2014 (данные по региону в целом)</v>
      </c>
      <c r="FW7" s="489"/>
      <c r="FX7" s="489"/>
      <c r="FY7" s="223"/>
      <c r="FZ7" s="196"/>
    </row>
    <row r="8" spans="1:182" s="145" customFormat="1" ht="13.5" hidden="1" customHeight="1">
      <c r="E8" s="146"/>
      <c r="F8" s="147"/>
      <c r="G8" s="150"/>
      <c r="H8" s="150"/>
      <c r="J8" s="146"/>
      <c r="K8" s="151"/>
      <c r="L8" s="151"/>
      <c r="M8" s="150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52"/>
      <c r="AB8" s="447"/>
      <c r="AC8" s="447"/>
      <c r="AD8" s="497"/>
      <c r="AE8" s="486" t="s">
        <v>1391</v>
      </c>
      <c r="AF8" s="486"/>
      <c r="AG8" s="486" t="s">
        <v>1392</v>
      </c>
      <c r="AH8" s="486"/>
      <c r="AI8" s="486" t="s">
        <v>1393</v>
      </c>
      <c r="AJ8" s="486"/>
      <c r="AK8" s="486" t="s">
        <v>1387</v>
      </c>
      <c r="AL8" s="486" t="s">
        <v>1389</v>
      </c>
      <c r="AM8" s="486" t="s">
        <v>1388</v>
      </c>
      <c r="AN8" s="485" t="s">
        <v>1689</v>
      </c>
      <c r="AO8" s="485"/>
      <c r="AP8" s="451" t="s">
        <v>1707</v>
      </c>
      <c r="AQ8" s="451"/>
      <c r="AR8" s="451"/>
      <c r="AS8" s="451" t="s">
        <v>1662</v>
      </c>
      <c r="AT8" s="451"/>
      <c r="AU8" s="451"/>
      <c r="AV8" s="451"/>
      <c r="AW8" s="451"/>
      <c r="AX8" s="451"/>
      <c r="AY8" s="451"/>
      <c r="AZ8" s="451"/>
      <c r="BA8" s="451"/>
      <c r="BB8" s="451"/>
      <c r="BC8" s="451"/>
      <c r="BD8" s="451"/>
      <c r="BE8" s="451"/>
      <c r="BF8" s="451"/>
      <c r="BG8" s="451"/>
      <c r="BH8" s="451" t="s">
        <v>1621</v>
      </c>
      <c r="BI8" s="451"/>
      <c r="BJ8" s="451"/>
      <c r="BK8" s="451"/>
      <c r="BL8" s="451"/>
      <c r="BM8" s="486" t="s">
        <v>1391</v>
      </c>
      <c r="BN8" s="486"/>
      <c r="BO8" s="486" t="s">
        <v>1392</v>
      </c>
      <c r="BP8" s="486"/>
      <c r="BQ8" s="486" t="s">
        <v>1393</v>
      </c>
      <c r="BR8" s="486"/>
      <c r="BS8" s="486" t="s">
        <v>1387</v>
      </c>
      <c r="BT8" s="486" t="s">
        <v>1389</v>
      </c>
      <c r="BU8" s="486" t="s">
        <v>1388</v>
      </c>
      <c r="BV8" s="485" t="s">
        <v>1689</v>
      </c>
      <c r="BW8" s="485"/>
      <c r="BX8" s="451" t="s">
        <v>1707</v>
      </c>
      <c r="BY8" s="451"/>
      <c r="BZ8" s="451"/>
      <c r="CA8" s="451" t="s">
        <v>1662</v>
      </c>
      <c r="CB8" s="451"/>
      <c r="CC8" s="451"/>
      <c r="CD8" s="451"/>
      <c r="CE8" s="451"/>
      <c r="CF8" s="451"/>
      <c r="CG8" s="451"/>
      <c r="CH8" s="451"/>
      <c r="CI8" s="451"/>
      <c r="CJ8" s="451"/>
      <c r="CK8" s="451"/>
      <c r="CL8" s="451"/>
      <c r="CM8" s="451"/>
      <c r="CN8" s="451"/>
      <c r="CO8" s="451"/>
      <c r="CP8" s="451" t="s">
        <v>1621</v>
      </c>
      <c r="CQ8" s="451"/>
      <c r="CR8" s="451"/>
      <c r="CS8" s="451"/>
      <c r="CT8" s="451"/>
      <c r="CU8" s="486" t="s">
        <v>1391</v>
      </c>
      <c r="CV8" s="486"/>
      <c r="CW8" s="486" t="s">
        <v>1392</v>
      </c>
      <c r="CX8" s="486"/>
      <c r="CY8" s="486" t="s">
        <v>1393</v>
      </c>
      <c r="CZ8" s="486"/>
      <c r="DA8" s="486" t="s">
        <v>1387</v>
      </c>
      <c r="DB8" s="486" t="s">
        <v>1389</v>
      </c>
      <c r="DC8" s="486" t="s">
        <v>1388</v>
      </c>
      <c r="DD8" s="485" t="s">
        <v>1689</v>
      </c>
      <c r="DE8" s="485"/>
      <c r="DF8" s="451" t="s">
        <v>1707</v>
      </c>
      <c r="DG8" s="451"/>
      <c r="DH8" s="451"/>
      <c r="DI8" s="451" t="s">
        <v>1662</v>
      </c>
      <c r="DJ8" s="451"/>
      <c r="DK8" s="451"/>
      <c r="DL8" s="451"/>
      <c r="DM8" s="451"/>
      <c r="DN8" s="451"/>
      <c r="DO8" s="451"/>
      <c r="DP8" s="451"/>
      <c r="DQ8" s="451"/>
      <c r="DR8" s="451"/>
      <c r="DS8" s="451"/>
      <c r="DT8" s="451"/>
      <c r="DU8" s="451"/>
      <c r="DV8" s="451"/>
      <c r="DW8" s="451"/>
      <c r="DX8" s="451" t="s">
        <v>1621</v>
      </c>
      <c r="DY8" s="451"/>
      <c r="DZ8" s="451"/>
      <c r="EA8" s="451"/>
      <c r="EB8" s="451"/>
      <c r="EC8" s="486" t="s">
        <v>1391</v>
      </c>
      <c r="ED8" s="486"/>
      <c r="EE8" s="486" t="s">
        <v>1392</v>
      </c>
      <c r="EF8" s="486"/>
      <c r="EG8" s="486" t="s">
        <v>1393</v>
      </c>
      <c r="EH8" s="486"/>
      <c r="EI8" s="486" t="s">
        <v>1387</v>
      </c>
      <c r="EJ8" s="486" t="s">
        <v>1389</v>
      </c>
      <c r="EK8" s="486" t="s">
        <v>1388</v>
      </c>
      <c r="EL8" s="485" t="s">
        <v>1689</v>
      </c>
      <c r="EM8" s="485"/>
      <c r="EN8" s="451" t="s">
        <v>1707</v>
      </c>
      <c r="EO8" s="451"/>
      <c r="EP8" s="451"/>
      <c r="EQ8" s="451" t="s">
        <v>1662</v>
      </c>
      <c r="ER8" s="451"/>
      <c r="ES8" s="451"/>
      <c r="ET8" s="451"/>
      <c r="EU8" s="451"/>
      <c r="EV8" s="451"/>
      <c r="EW8" s="451"/>
      <c r="EX8" s="451"/>
      <c r="EY8" s="451"/>
      <c r="EZ8" s="451"/>
      <c r="FA8" s="451"/>
      <c r="FB8" s="451"/>
      <c r="FC8" s="451"/>
      <c r="FD8" s="451"/>
      <c r="FE8" s="451"/>
      <c r="FF8" s="451" t="s">
        <v>1621</v>
      </c>
      <c r="FG8" s="451"/>
      <c r="FH8" s="451"/>
      <c r="FI8" s="451"/>
      <c r="FJ8" s="451"/>
      <c r="FK8"/>
      <c r="FL8"/>
      <c r="FM8"/>
      <c r="FN8"/>
      <c r="FO8"/>
      <c r="FP8"/>
      <c r="FQ8"/>
      <c r="FR8"/>
      <c r="FS8" s="217"/>
      <c r="FT8" s="450"/>
      <c r="FU8" s="450"/>
      <c r="FV8" s="489"/>
      <c r="FW8" s="489"/>
      <c r="FX8" s="489"/>
      <c r="FY8" s="223"/>
      <c r="FZ8" s="196"/>
    </row>
    <row r="9" spans="1:182" s="145" customFormat="1" ht="13.5" hidden="1" customHeight="1">
      <c r="E9" s="146"/>
      <c r="F9" s="147"/>
      <c r="G9" s="150"/>
      <c r="H9" s="150"/>
      <c r="J9" s="146"/>
      <c r="K9" s="151"/>
      <c r="L9" s="151"/>
      <c r="M9" s="150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52"/>
      <c r="AB9" s="447"/>
      <c r="AC9" s="447"/>
      <c r="AD9" s="497"/>
      <c r="AE9" s="486"/>
      <c r="AF9" s="486"/>
      <c r="AG9" s="486"/>
      <c r="AH9" s="486"/>
      <c r="AI9" s="486"/>
      <c r="AJ9" s="486"/>
      <c r="AK9" s="486"/>
      <c r="AL9" s="486"/>
      <c r="AM9" s="486"/>
      <c r="AN9" s="485"/>
      <c r="AO9" s="485"/>
      <c r="AP9" s="451"/>
      <c r="AQ9" s="451"/>
      <c r="AR9" s="451"/>
      <c r="AS9" s="451" t="s">
        <v>1381</v>
      </c>
      <c r="AT9" s="451"/>
      <c r="AU9" s="451"/>
      <c r="AV9" s="451"/>
      <c r="AW9" s="451"/>
      <c r="AX9" s="451" t="s">
        <v>1382</v>
      </c>
      <c r="AY9" s="451"/>
      <c r="AZ9" s="451"/>
      <c r="BA9" s="451"/>
      <c r="BB9" s="451"/>
      <c r="BC9" s="451" t="s">
        <v>1383</v>
      </c>
      <c r="BD9" s="451"/>
      <c r="BE9" s="451"/>
      <c r="BF9" s="451"/>
      <c r="BG9" s="451"/>
      <c r="BH9" s="486" t="s">
        <v>1676</v>
      </c>
      <c r="BI9" s="486"/>
      <c r="BJ9" s="487" t="s">
        <v>1680</v>
      </c>
      <c r="BK9" s="488" t="s">
        <v>1667</v>
      </c>
      <c r="BL9" s="488"/>
      <c r="BM9" s="486"/>
      <c r="BN9" s="486"/>
      <c r="BO9" s="486"/>
      <c r="BP9" s="486"/>
      <c r="BQ9" s="486"/>
      <c r="BR9" s="486"/>
      <c r="BS9" s="486"/>
      <c r="BT9" s="486"/>
      <c r="BU9" s="486"/>
      <c r="BV9" s="485"/>
      <c r="BW9" s="485"/>
      <c r="BX9" s="451"/>
      <c r="BY9" s="451"/>
      <c r="BZ9" s="451"/>
      <c r="CA9" s="451" t="s">
        <v>1381</v>
      </c>
      <c r="CB9" s="451"/>
      <c r="CC9" s="451"/>
      <c r="CD9" s="451"/>
      <c r="CE9" s="451"/>
      <c r="CF9" s="451" t="s">
        <v>1382</v>
      </c>
      <c r="CG9" s="451"/>
      <c r="CH9" s="451"/>
      <c r="CI9" s="451"/>
      <c r="CJ9" s="451"/>
      <c r="CK9" s="451" t="s">
        <v>1383</v>
      </c>
      <c r="CL9" s="451"/>
      <c r="CM9" s="451"/>
      <c r="CN9" s="451"/>
      <c r="CO9" s="451"/>
      <c r="CP9" s="486" t="s">
        <v>1676</v>
      </c>
      <c r="CQ9" s="486"/>
      <c r="CR9" s="487" t="s">
        <v>1680</v>
      </c>
      <c r="CS9" s="488" t="s">
        <v>1667</v>
      </c>
      <c r="CT9" s="488"/>
      <c r="CU9" s="486"/>
      <c r="CV9" s="486"/>
      <c r="CW9" s="486"/>
      <c r="CX9" s="486"/>
      <c r="CY9" s="486"/>
      <c r="CZ9" s="486"/>
      <c r="DA9" s="486"/>
      <c r="DB9" s="486"/>
      <c r="DC9" s="486"/>
      <c r="DD9" s="485"/>
      <c r="DE9" s="485"/>
      <c r="DF9" s="451"/>
      <c r="DG9" s="451"/>
      <c r="DH9" s="451"/>
      <c r="DI9" s="451" t="s">
        <v>1381</v>
      </c>
      <c r="DJ9" s="451"/>
      <c r="DK9" s="451"/>
      <c r="DL9" s="451"/>
      <c r="DM9" s="451"/>
      <c r="DN9" s="451" t="s">
        <v>1382</v>
      </c>
      <c r="DO9" s="451"/>
      <c r="DP9" s="451"/>
      <c r="DQ9" s="451"/>
      <c r="DR9" s="451"/>
      <c r="DS9" s="451" t="s">
        <v>1383</v>
      </c>
      <c r="DT9" s="451"/>
      <c r="DU9" s="451"/>
      <c r="DV9" s="451"/>
      <c r="DW9" s="451"/>
      <c r="DX9" s="486" t="s">
        <v>1676</v>
      </c>
      <c r="DY9" s="486"/>
      <c r="DZ9" s="487" t="s">
        <v>1680</v>
      </c>
      <c r="EA9" s="488" t="s">
        <v>1667</v>
      </c>
      <c r="EB9" s="488"/>
      <c r="EC9" s="486"/>
      <c r="ED9" s="486"/>
      <c r="EE9" s="486"/>
      <c r="EF9" s="486"/>
      <c r="EG9" s="486"/>
      <c r="EH9" s="486"/>
      <c r="EI9" s="486"/>
      <c r="EJ9" s="486"/>
      <c r="EK9" s="486"/>
      <c r="EL9" s="485"/>
      <c r="EM9" s="485"/>
      <c r="EN9" s="451"/>
      <c r="EO9" s="451"/>
      <c r="EP9" s="451"/>
      <c r="EQ9" s="451" t="s">
        <v>1381</v>
      </c>
      <c r="ER9" s="451"/>
      <c r="ES9" s="451"/>
      <c r="ET9" s="451"/>
      <c r="EU9" s="451"/>
      <c r="EV9" s="451" t="s">
        <v>1382</v>
      </c>
      <c r="EW9" s="451"/>
      <c r="EX9" s="451"/>
      <c r="EY9" s="451"/>
      <c r="EZ9" s="451"/>
      <c r="FA9" s="451" t="s">
        <v>1383</v>
      </c>
      <c r="FB9" s="451"/>
      <c r="FC9" s="451"/>
      <c r="FD9" s="451"/>
      <c r="FE9" s="451"/>
      <c r="FF9" s="486" t="s">
        <v>1676</v>
      </c>
      <c r="FG9" s="486"/>
      <c r="FH9" s="487" t="s">
        <v>1680</v>
      </c>
      <c r="FI9" s="488" t="s">
        <v>1667</v>
      </c>
      <c r="FJ9" s="488"/>
      <c r="FK9"/>
      <c r="FL9"/>
      <c r="FM9"/>
      <c r="FN9"/>
      <c r="FO9"/>
      <c r="FP9"/>
      <c r="FQ9"/>
      <c r="FR9"/>
      <c r="FS9" s="217"/>
      <c r="FT9" s="450"/>
      <c r="FU9" s="450"/>
      <c r="FV9" s="223"/>
      <c r="FW9" s="223"/>
      <c r="FX9" s="223"/>
      <c r="FY9" s="223"/>
      <c r="FZ9" s="196"/>
    </row>
    <row r="10" spans="1:182" s="153" customFormat="1" ht="12" customHeight="1">
      <c r="E10" s="154"/>
      <c r="F10" s="154"/>
      <c r="G10" s="154"/>
      <c r="H10" s="154"/>
      <c r="I10" s="498" t="str">
        <f>IF(TOPL_TEMPLATE_MODE="","",TOPL_TEMPLATE_MODE)</f>
        <v>Отчёт заполняется от организации (организаций)</v>
      </c>
      <c r="J10" s="499"/>
      <c r="K10" s="499"/>
      <c r="L10" s="499"/>
      <c r="M10" s="499"/>
      <c r="N10" s="499"/>
      <c r="O10" s="500"/>
      <c r="P10" s="146"/>
      <c r="Q10" s="146"/>
      <c r="R10" s="146"/>
      <c r="S10" s="146"/>
      <c r="T10" s="146"/>
      <c r="U10" s="146"/>
      <c r="V10" s="146"/>
      <c r="W10" s="146"/>
      <c r="X10" s="146"/>
      <c r="Y10" s="154"/>
      <c r="Z10" s="154"/>
      <c r="AA10" s="155"/>
      <c r="AB10" s="447"/>
      <c r="AC10" s="447"/>
      <c r="AD10" s="497"/>
      <c r="AE10" s="486"/>
      <c r="AF10" s="486"/>
      <c r="AG10" s="486"/>
      <c r="AH10" s="486"/>
      <c r="AI10" s="486"/>
      <c r="AJ10" s="486"/>
      <c r="AK10" s="486"/>
      <c r="AL10" s="486"/>
      <c r="AM10" s="486"/>
      <c r="AN10" s="485"/>
      <c r="AO10" s="485"/>
      <c r="AP10" s="484" t="s">
        <v>1394</v>
      </c>
      <c r="AQ10" s="484"/>
      <c r="AR10" s="484" t="s">
        <v>1395</v>
      </c>
      <c r="AS10" s="485" t="s">
        <v>1386</v>
      </c>
      <c r="AT10" s="485"/>
      <c r="AU10" s="484" t="s">
        <v>1384</v>
      </c>
      <c r="AV10" s="484" t="s">
        <v>1385</v>
      </c>
      <c r="AW10" s="484"/>
      <c r="AX10" s="485" t="s">
        <v>1386</v>
      </c>
      <c r="AY10" s="485"/>
      <c r="AZ10" s="484" t="s">
        <v>1384</v>
      </c>
      <c r="BA10" s="484" t="s">
        <v>1385</v>
      </c>
      <c r="BB10" s="484"/>
      <c r="BC10" s="485" t="s">
        <v>1386</v>
      </c>
      <c r="BD10" s="485"/>
      <c r="BE10" s="484" t="s">
        <v>1384</v>
      </c>
      <c r="BF10" s="484" t="s">
        <v>1385</v>
      </c>
      <c r="BG10" s="484"/>
      <c r="BH10" s="486"/>
      <c r="BI10" s="486"/>
      <c r="BJ10" s="487"/>
      <c r="BK10" s="488"/>
      <c r="BL10" s="488"/>
      <c r="BM10" s="486"/>
      <c r="BN10" s="486"/>
      <c r="BO10" s="486"/>
      <c r="BP10" s="486"/>
      <c r="BQ10" s="486"/>
      <c r="BR10" s="486"/>
      <c r="BS10" s="486"/>
      <c r="BT10" s="486"/>
      <c r="BU10" s="486"/>
      <c r="BV10" s="485"/>
      <c r="BW10" s="485"/>
      <c r="BX10" s="484" t="s">
        <v>1394</v>
      </c>
      <c r="BY10" s="484"/>
      <c r="BZ10" s="484" t="s">
        <v>1395</v>
      </c>
      <c r="CA10" s="485" t="s">
        <v>1386</v>
      </c>
      <c r="CB10" s="485"/>
      <c r="CC10" s="484" t="s">
        <v>1384</v>
      </c>
      <c r="CD10" s="484" t="s">
        <v>1385</v>
      </c>
      <c r="CE10" s="484"/>
      <c r="CF10" s="485" t="s">
        <v>1386</v>
      </c>
      <c r="CG10" s="485"/>
      <c r="CH10" s="484" t="s">
        <v>1384</v>
      </c>
      <c r="CI10" s="484" t="s">
        <v>1385</v>
      </c>
      <c r="CJ10" s="484"/>
      <c r="CK10" s="485" t="s">
        <v>1386</v>
      </c>
      <c r="CL10" s="485"/>
      <c r="CM10" s="484" t="s">
        <v>1384</v>
      </c>
      <c r="CN10" s="484" t="s">
        <v>1385</v>
      </c>
      <c r="CO10" s="484"/>
      <c r="CP10" s="486"/>
      <c r="CQ10" s="486"/>
      <c r="CR10" s="487"/>
      <c r="CS10" s="488"/>
      <c r="CT10" s="488"/>
      <c r="CU10" s="486"/>
      <c r="CV10" s="486"/>
      <c r="CW10" s="486"/>
      <c r="CX10" s="486"/>
      <c r="CY10" s="486"/>
      <c r="CZ10" s="486"/>
      <c r="DA10" s="486"/>
      <c r="DB10" s="486"/>
      <c r="DC10" s="486"/>
      <c r="DD10" s="485"/>
      <c r="DE10" s="485"/>
      <c r="DF10" s="484" t="s">
        <v>1394</v>
      </c>
      <c r="DG10" s="484"/>
      <c r="DH10" s="484" t="s">
        <v>1395</v>
      </c>
      <c r="DI10" s="485" t="s">
        <v>1386</v>
      </c>
      <c r="DJ10" s="485"/>
      <c r="DK10" s="484" t="s">
        <v>1384</v>
      </c>
      <c r="DL10" s="484" t="s">
        <v>1385</v>
      </c>
      <c r="DM10" s="484"/>
      <c r="DN10" s="485" t="s">
        <v>1386</v>
      </c>
      <c r="DO10" s="485"/>
      <c r="DP10" s="484" t="s">
        <v>1384</v>
      </c>
      <c r="DQ10" s="484" t="s">
        <v>1385</v>
      </c>
      <c r="DR10" s="484"/>
      <c r="DS10" s="485" t="s">
        <v>1386</v>
      </c>
      <c r="DT10" s="485"/>
      <c r="DU10" s="484" t="s">
        <v>1384</v>
      </c>
      <c r="DV10" s="484" t="s">
        <v>1385</v>
      </c>
      <c r="DW10" s="484"/>
      <c r="DX10" s="486"/>
      <c r="DY10" s="486"/>
      <c r="DZ10" s="487"/>
      <c r="EA10" s="488"/>
      <c r="EB10" s="488"/>
      <c r="EC10" s="486"/>
      <c r="ED10" s="486"/>
      <c r="EE10" s="486"/>
      <c r="EF10" s="486"/>
      <c r="EG10" s="486"/>
      <c r="EH10" s="486"/>
      <c r="EI10" s="486"/>
      <c r="EJ10" s="486"/>
      <c r="EK10" s="486"/>
      <c r="EL10" s="485"/>
      <c r="EM10" s="485"/>
      <c r="EN10" s="484" t="s">
        <v>1394</v>
      </c>
      <c r="EO10" s="484"/>
      <c r="EP10" s="484" t="s">
        <v>1395</v>
      </c>
      <c r="EQ10" s="485" t="s">
        <v>1386</v>
      </c>
      <c r="ER10" s="485"/>
      <c r="ES10" s="484" t="s">
        <v>1384</v>
      </c>
      <c r="ET10" s="484" t="s">
        <v>1385</v>
      </c>
      <c r="EU10" s="484"/>
      <c r="EV10" s="485" t="s">
        <v>1386</v>
      </c>
      <c r="EW10" s="485"/>
      <c r="EX10" s="484" t="s">
        <v>1384</v>
      </c>
      <c r="EY10" s="484" t="s">
        <v>1385</v>
      </c>
      <c r="EZ10" s="484"/>
      <c r="FA10" s="485" t="s">
        <v>1386</v>
      </c>
      <c r="FB10" s="485"/>
      <c r="FC10" s="484" t="s">
        <v>1384</v>
      </c>
      <c r="FD10" s="484" t="s">
        <v>1385</v>
      </c>
      <c r="FE10" s="484"/>
      <c r="FF10" s="486"/>
      <c r="FG10" s="486"/>
      <c r="FH10" s="487"/>
      <c r="FI10" s="488"/>
      <c r="FJ10" s="488"/>
      <c r="FK10"/>
      <c r="FL10"/>
      <c r="FM10"/>
      <c r="FN10"/>
      <c r="FO10"/>
      <c r="FP10"/>
      <c r="FQ10"/>
      <c r="FR10"/>
      <c r="FS10" s="217"/>
      <c r="FT10" s="450"/>
      <c r="FU10" s="450"/>
      <c r="FV10" s="447" t="s">
        <v>1682</v>
      </c>
      <c r="FW10" s="447" t="s">
        <v>1683</v>
      </c>
      <c r="FX10" s="447" t="s">
        <v>1677</v>
      </c>
      <c r="FY10" s="222"/>
      <c r="FZ10" s="197"/>
    </row>
    <row r="11" spans="1:182" s="153" customFormat="1" ht="0.75" customHeight="1">
      <c r="F11" s="154"/>
      <c r="G11" s="154"/>
      <c r="H11" s="154"/>
      <c r="I11" s="145"/>
      <c r="J11" s="156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5"/>
      <c r="AB11" s="447"/>
      <c r="AC11" s="447"/>
      <c r="AD11" s="497"/>
      <c r="AE11" s="224" t="s">
        <v>1608</v>
      </c>
      <c r="AF11" s="224" t="s">
        <v>1607</v>
      </c>
      <c r="AG11" s="224" t="s">
        <v>1608</v>
      </c>
      <c r="AH11" s="224" t="s">
        <v>1607</v>
      </c>
      <c r="AI11" s="224" t="s">
        <v>1608</v>
      </c>
      <c r="AJ11" s="224" t="s">
        <v>1607</v>
      </c>
      <c r="AK11" s="486"/>
      <c r="AL11" s="486"/>
      <c r="AM11" s="486"/>
      <c r="AN11" s="224" t="s">
        <v>1608</v>
      </c>
      <c r="AO11" s="224" t="s">
        <v>1607</v>
      </c>
      <c r="AP11" s="224" t="s">
        <v>1608</v>
      </c>
      <c r="AQ11" s="224" t="s">
        <v>1607</v>
      </c>
      <c r="AR11" s="484"/>
      <c r="AS11" s="224" t="s">
        <v>1608</v>
      </c>
      <c r="AT11" s="224" t="s">
        <v>1607</v>
      </c>
      <c r="AU11" s="484"/>
      <c r="AV11" s="224" t="s">
        <v>1608</v>
      </c>
      <c r="AW11" s="224" t="s">
        <v>1607</v>
      </c>
      <c r="AX11" s="224" t="s">
        <v>1608</v>
      </c>
      <c r="AY11" s="224" t="s">
        <v>1607</v>
      </c>
      <c r="AZ11" s="484"/>
      <c r="BA11" s="224" t="s">
        <v>1608</v>
      </c>
      <c r="BB11" s="224" t="s">
        <v>1607</v>
      </c>
      <c r="BC11" s="224" t="s">
        <v>1608</v>
      </c>
      <c r="BD11" s="224" t="s">
        <v>1607</v>
      </c>
      <c r="BE11" s="484"/>
      <c r="BF11" s="224" t="s">
        <v>1608</v>
      </c>
      <c r="BG11" s="224" t="s">
        <v>1607</v>
      </c>
      <c r="BH11" s="224" t="s">
        <v>1608</v>
      </c>
      <c r="BI11" s="224" t="s">
        <v>1607</v>
      </c>
      <c r="BJ11" s="487"/>
      <c r="BK11" s="224" t="s">
        <v>1608</v>
      </c>
      <c r="BL11" s="224" t="s">
        <v>1607</v>
      </c>
      <c r="BM11" s="224" t="s">
        <v>1608</v>
      </c>
      <c r="BN11" s="224" t="s">
        <v>1607</v>
      </c>
      <c r="BO11" s="224" t="s">
        <v>1608</v>
      </c>
      <c r="BP11" s="224" t="s">
        <v>1607</v>
      </c>
      <c r="BQ11" s="224" t="s">
        <v>1608</v>
      </c>
      <c r="BR11" s="224" t="s">
        <v>1607</v>
      </c>
      <c r="BS11" s="486"/>
      <c r="BT11" s="486"/>
      <c r="BU11" s="486"/>
      <c r="BV11" s="224" t="s">
        <v>1608</v>
      </c>
      <c r="BW11" s="224" t="s">
        <v>1607</v>
      </c>
      <c r="BX11" s="224" t="s">
        <v>1608</v>
      </c>
      <c r="BY11" s="224" t="s">
        <v>1607</v>
      </c>
      <c r="BZ11" s="484"/>
      <c r="CA11" s="224" t="s">
        <v>1608</v>
      </c>
      <c r="CB11" s="224" t="s">
        <v>1607</v>
      </c>
      <c r="CC11" s="484"/>
      <c r="CD11" s="224" t="s">
        <v>1608</v>
      </c>
      <c r="CE11" s="224" t="s">
        <v>1607</v>
      </c>
      <c r="CF11" s="224" t="s">
        <v>1608</v>
      </c>
      <c r="CG11" s="224" t="s">
        <v>1607</v>
      </c>
      <c r="CH11" s="484"/>
      <c r="CI11" s="224" t="s">
        <v>1608</v>
      </c>
      <c r="CJ11" s="224" t="s">
        <v>1607</v>
      </c>
      <c r="CK11" s="224" t="s">
        <v>1608</v>
      </c>
      <c r="CL11" s="224" t="s">
        <v>1607</v>
      </c>
      <c r="CM11" s="484"/>
      <c r="CN11" s="224" t="s">
        <v>1608</v>
      </c>
      <c r="CO11" s="224" t="s">
        <v>1607</v>
      </c>
      <c r="CP11" s="224" t="s">
        <v>1608</v>
      </c>
      <c r="CQ11" s="224" t="s">
        <v>1607</v>
      </c>
      <c r="CR11" s="487"/>
      <c r="CS11" s="224" t="s">
        <v>1608</v>
      </c>
      <c r="CT11" s="224" t="s">
        <v>1607</v>
      </c>
      <c r="CU11" s="224" t="s">
        <v>1608</v>
      </c>
      <c r="CV11" s="224" t="s">
        <v>1607</v>
      </c>
      <c r="CW11" s="224" t="s">
        <v>1608</v>
      </c>
      <c r="CX11" s="224" t="s">
        <v>1607</v>
      </c>
      <c r="CY11" s="224" t="s">
        <v>1608</v>
      </c>
      <c r="CZ11" s="224" t="s">
        <v>1607</v>
      </c>
      <c r="DA11" s="486"/>
      <c r="DB11" s="486"/>
      <c r="DC11" s="486"/>
      <c r="DD11" s="224" t="s">
        <v>1608</v>
      </c>
      <c r="DE11" s="224" t="s">
        <v>1607</v>
      </c>
      <c r="DF11" s="224" t="s">
        <v>1608</v>
      </c>
      <c r="DG11" s="224" t="s">
        <v>1607</v>
      </c>
      <c r="DH11" s="484"/>
      <c r="DI11" s="224" t="s">
        <v>1608</v>
      </c>
      <c r="DJ11" s="224" t="s">
        <v>1607</v>
      </c>
      <c r="DK11" s="484"/>
      <c r="DL11" s="224" t="s">
        <v>1608</v>
      </c>
      <c r="DM11" s="224" t="s">
        <v>1607</v>
      </c>
      <c r="DN11" s="224" t="s">
        <v>1608</v>
      </c>
      <c r="DO11" s="224" t="s">
        <v>1607</v>
      </c>
      <c r="DP11" s="484"/>
      <c r="DQ11" s="224" t="s">
        <v>1608</v>
      </c>
      <c r="DR11" s="224" t="s">
        <v>1607</v>
      </c>
      <c r="DS11" s="224" t="s">
        <v>1608</v>
      </c>
      <c r="DT11" s="224" t="s">
        <v>1607</v>
      </c>
      <c r="DU11" s="484"/>
      <c r="DV11" s="224" t="s">
        <v>1608</v>
      </c>
      <c r="DW11" s="224" t="s">
        <v>1607</v>
      </c>
      <c r="DX11" s="224" t="s">
        <v>1608</v>
      </c>
      <c r="DY11" s="224" t="s">
        <v>1607</v>
      </c>
      <c r="DZ11" s="487"/>
      <c r="EA11" s="224" t="s">
        <v>1608</v>
      </c>
      <c r="EB11" s="224" t="s">
        <v>1607</v>
      </c>
      <c r="EC11" s="224" t="s">
        <v>1608</v>
      </c>
      <c r="ED11" s="224" t="s">
        <v>1607</v>
      </c>
      <c r="EE11" s="224" t="s">
        <v>1608</v>
      </c>
      <c r="EF11" s="224" t="s">
        <v>1607</v>
      </c>
      <c r="EG11" s="224" t="s">
        <v>1608</v>
      </c>
      <c r="EH11" s="224" t="s">
        <v>1607</v>
      </c>
      <c r="EI11" s="486"/>
      <c r="EJ11" s="486"/>
      <c r="EK11" s="486"/>
      <c r="EL11" s="224" t="s">
        <v>1608</v>
      </c>
      <c r="EM11" s="224" t="s">
        <v>1607</v>
      </c>
      <c r="EN11" s="224" t="s">
        <v>1608</v>
      </c>
      <c r="EO11" s="224" t="s">
        <v>1607</v>
      </c>
      <c r="EP11" s="484"/>
      <c r="EQ11" s="224" t="s">
        <v>1608</v>
      </c>
      <c r="ER11" s="224" t="s">
        <v>1607</v>
      </c>
      <c r="ES11" s="484"/>
      <c r="ET11" s="224" t="s">
        <v>1608</v>
      </c>
      <c r="EU11" s="224" t="s">
        <v>1607</v>
      </c>
      <c r="EV11" s="224" t="s">
        <v>1608</v>
      </c>
      <c r="EW11" s="224" t="s">
        <v>1607</v>
      </c>
      <c r="EX11" s="484"/>
      <c r="EY11" s="224" t="s">
        <v>1608</v>
      </c>
      <c r="EZ11" s="224" t="s">
        <v>1607</v>
      </c>
      <c r="FA11" s="224" t="s">
        <v>1608</v>
      </c>
      <c r="FB11" s="224" t="s">
        <v>1607</v>
      </c>
      <c r="FC11" s="484"/>
      <c r="FD11" s="224" t="s">
        <v>1608</v>
      </c>
      <c r="FE11" s="224" t="s">
        <v>1607</v>
      </c>
      <c r="FF11" s="224" t="s">
        <v>1608</v>
      </c>
      <c r="FG11" s="224" t="s">
        <v>1607</v>
      </c>
      <c r="FH11" s="487"/>
      <c r="FI11" s="224" t="s">
        <v>1608</v>
      </c>
      <c r="FJ11" s="224" t="s">
        <v>1607</v>
      </c>
      <c r="FK11"/>
      <c r="FL11"/>
      <c r="FM11"/>
      <c r="FN11"/>
      <c r="FO11"/>
      <c r="FP11"/>
      <c r="FQ11"/>
      <c r="FR11"/>
      <c r="FS11" s="217"/>
      <c r="FT11" s="450"/>
      <c r="FU11" s="450"/>
      <c r="FV11" s="447"/>
      <c r="FW11" s="447"/>
      <c r="FX11" s="447"/>
      <c r="FY11" s="222"/>
      <c r="FZ11" s="197"/>
    </row>
    <row r="12" spans="1:182" s="153" customFormat="1" ht="13.5" hidden="1" customHeight="1">
      <c r="F12" s="154"/>
      <c r="G12" s="154"/>
      <c r="H12" s="154"/>
      <c r="J12" s="156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5"/>
      <c r="AB12" s="453" t="s">
        <v>1524</v>
      </c>
      <c r="AC12" s="227" t="s">
        <v>1650</v>
      </c>
      <c r="AD12" s="227" t="str">
        <f>AC12 &amp; " :: ACTI"</f>
        <v>Газ лимитный :: ACTI</v>
      </c>
      <c r="AE12" s="212"/>
      <c r="AF12" s="212"/>
      <c r="AG12" s="213">
        <f>IF(AK12=0,0,AN12/AK12*1000)</f>
        <v>5988.5299999999988</v>
      </c>
      <c r="AH12" s="213">
        <f>IF(AK12=0,0,AO12/AK12*1000)</f>
        <v>5988.5299999999988</v>
      </c>
      <c r="AI12" s="213">
        <f t="shared" ref="AI12:AI20" si="0">IF(AM12=0,0,AN12/AM12*1000)</f>
        <v>5131.5595544130229</v>
      </c>
      <c r="AJ12" s="213">
        <f t="shared" ref="AJ12:AJ20" si="1">IF(AM12=0,0,AO12/AM12*1000)</f>
        <v>5131.5595544130229</v>
      </c>
      <c r="AK12" s="213">
        <f t="shared" ref="AK12:AK20" si="2">SUMIF($AD$45:$AD$66,$AD12,AK$45:AK$66)</f>
        <v>126.85</v>
      </c>
      <c r="AL12" s="212"/>
      <c r="AM12" s="213">
        <f t="shared" ref="AM12:AO20" si="3">SUMIF($AD$45:$AD$66,$AD12,AM$45:AM$66)</f>
        <v>148.03395</v>
      </c>
      <c r="AN12" s="213">
        <f t="shared" si="3"/>
        <v>759.64503049999985</v>
      </c>
      <c r="AO12" s="213">
        <f t="shared" si="3"/>
        <v>759.64503049999985</v>
      </c>
      <c r="AP12" s="212"/>
      <c r="AQ12" s="212"/>
      <c r="AR12" s="213">
        <f>SUMIF($AD$45:$AD$66,$AD12,AR$45:AR$66)</f>
        <v>0</v>
      </c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3">
        <f>IF(BS12=0,0,BV12/BS12*1000)</f>
        <v>5974.9</v>
      </c>
      <c r="BP12" s="213">
        <f>IF(BS12=0,0,BW12/BS12*1000)</f>
        <v>5974.9</v>
      </c>
      <c r="BQ12" s="213">
        <f t="shared" ref="BQ12:BQ20" si="4">IF(BU12=0,0,BV12/BU12*1000)</f>
        <v>5150.7758620689656</v>
      </c>
      <c r="BR12" s="213">
        <f t="shared" ref="BR12:BR20" si="5">IF(BU12=0,0,BW12/BU12*1000)</f>
        <v>5150.7758620689656</v>
      </c>
      <c r="BS12" s="213">
        <f t="shared" ref="BS12:BS20" si="6">SUMIF($AD$45:$AD$66,$AD12,BS$45:BS$66)</f>
        <v>84.84</v>
      </c>
      <c r="BT12" s="212"/>
      <c r="BU12" s="213">
        <f t="shared" ref="BU12:BW20" si="7">SUMIF($AD$45:$AD$66,$AD12,BU$45:BU$66)</f>
        <v>98.414400000000001</v>
      </c>
      <c r="BV12" s="213">
        <f t="shared" si="7"/>
        <v>506.91051600000003</v>
      </c>
      <c r="BW12" s="213">
        <f t="shared" si="7"/>
        <v>506.91051600000003</v>
      </c>
      <c r="BX12" s="212"/>
      <c r="BY12" s="212"/>
      <c r="BZ12" s="213">
        <f>SUMIF($AD$45:$AD$66,$AD12,BZ$45:BZ$66)</f>
        <v>0</v>
      </c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3">
        <f>IF(DA12=0,0,DD12/DA12*1000)</f>
        <v>5974.9</v>
      </c>
      <c r="CX12" s="213">
        <f>IF(DA12=0,0,DE12/DA12*1000)</f>
        <v>5974.9</v>
      </c>
      <c r="CY12" s="213">
        <f t="shared" ref="CY12:CY20" si="8">IF(DC12=0,0,DD12/DC12*1000)</f>
        <v>5134.3989000601523</v>
      </c>
      <c r="CZ12" s="213">
        <f t="shared" ref="CZ12:CZ20" si="9">IF(DC12=0,0,DE12/DC12*1000)</f>
        <v>5134.3989000601523</v>
      </c>
      <c r="DA12" s="213">
        <f t="shared" ref="DA12:DA20" si="10">SUMIF($AD$45:$AD$66,$AD12,DA$45:DA$66)</f>
        <v>84.838999999999999</v>
      </c>
      <c r="DB12" s="212"/>
      <c r="DC12" s="213">
        <f t="shared" ref="DC12:DE20" si="11">SUMIF($AD$45:$AD$66,$AD12,DC$45:DC$66)</f>
        <v>98.727144299999992</v>
      </c>
      <c r="DD12" s="213">
        <f t="shared" si="11"/>
        <v>506.90454109999996</v>
      </c>
      <c r="DE12" s="213">
        <f t="shared" si="11"/>
        <v>506.90454109999996</v>
      </c>
      <c r="DF12" s="212"/>
      <c r="DG12" s="212"/>
      <c r="DH12" s="213">
        <f>SUMIF($AD$45:$AD$66,$AD12,DH$45:DH$66)</f>
        <v>0</v>
      </c>
      <c r="DI12" s="212"/>
      <c r="DJ12" s="212"/>
      <c r="DK12" s="212"/>
      <c r="DL12" s="212"/>
      <c r="DM12" s="212"/>
      <c r="DN12" s="212"/>
      <c r="DO12" s="212"/>
      <c r="DP12" s="212"/>
      <c r="DQ12" s="212"/>
      <c r="DR12" s="212"/>
      <c r="DS12" s="212"/>
      <c r="DT12" s="212"/>
      <c r="DU12" s="212"/>
      <c r="DV12" s="212"/>
      <c r="DW12" s="212"/>
      <c r="DX12" s="212"/>
      <c r="DY12" s="212"/>
      <c r="DZ12" s="212"/>
      <c r="EA12" s="212"/>
      <c r="EB12" s="212"/>
      <c r="EC12" s="212"/>
      <c r="ED12" s="212"/>
      <c r="EE12" s="213">
        <f>IF(EI12=0,0,EL12/EI12*1000)</f>
        <v>5972.3</v>
      </c>
      <c r="EF12" s="213">
        <f>IF(EI12=0,0,EM12/EI12*1000)</f>
        <v>5972.3</v>
      </c>
      <c r="EG12" s="213">
        <f t="shared" ref="EG12:EG20" si="12">IF(EK12=0,0,EL12/EK12*1000)</f>
        <v>5134.8121399707688</v>
      </c>
      <c r="EH12" s="213">
        <f t="shared" ref="EH12:EH20" si="13">IF(EK12=0,0,EM12/EK12*1000)</f>
        <v>5134.8121399707688</v>
      </c>
      <c r="EI12" s="213">
        <f t="shared" ref="EI12:EI20" si="14">SUMIF($AD$45:$AD$66,$AD12,EI$45:EI$66)</f>
        <v>73.268000000000001</v>
      </c>
      <c r="EJ12" s="212"/>
      <c r="EK12" s="213">
        <f t="shared" ref="EK12:EM20" si="15">SUMIF($AD$45:$AD$66,$AD12,EK$45:EK$66)</f>
        <v>85.218010800000002</v>
      </c>
      <c r="EL12" s="213">
        <f t="shared" si="15"/>
        <v>437.57847640000006</v>
      </c>
      <c r="EM12" s="213">
        <f t="shared" si="15"/>
        <v>437.57847640000006</v>
      </c>
      <c r="EN12" s="212"/>
      <c r="EO12" s="212"/>
      <c r="EP12" s="213">
        <f>SUMIF($AD$45:$AD$66,$AD12,EP$45:EP$66)</f>
        <v>0</v>
      </c>
      <c r="EQ12" s="212"/>
      <c r="ER12" s="212"/>
      <c r="ES12" s="212"/>
      <c r="ET12" s="212"/>
      <c r="EU12" s="212"/>
      <c r="EV12" s="212"/>
      <c r="EW12" s="212"/>
      <c r="EX12" s="212"/>
      <c r="EY12" s="212"/>
      <c r="EZ12" s="212"/>
      <c r="FA12" s="212"/>
      <c r="FB12" s="212"/>
      <c r="FC12" s="212"/>
      <c r="FD12" s="212"/>
      <c r="FE12" s="212"/>
      <c r="FF12" s="212"/>
      <c r="FG12" s="212"/>
      <c r="FH12" s="212"/>
      <c r="FI12" s="212"/>
      <c r="FJ12" s="212"/>
      <c r="FK12"/>
      <c r="FL12"/>
      <c r="FM12"/>
      <c r="FN12"/>
      <c r="FO12"/>
      <c r="FP12"/>
      <c r="FQ12"/>
      <c r="FR12"/>
      <c r="FS12" s="217"/>
      <c r="FT12" s="490" t="s">
        <v>1524</v>
      </c>
      <c r="FU12" s="226" t="s">
        <v>1650</v>
      </c>
      <c r="FV12" s="230">
        <f>SUMIF(PLAN_201X!$B$2:$B$19,PLAN_201X!$B2,PLAN_201X!C$2:C$19)</f>
        <v>4824.2700000000004</v>
      </c>
      <c r="FW12" s="230">
        <f>SUMIF(PLAN_201X!$B$2:$B$19,PLAN_201X!$B2,PLAN_201X!D$2:D$19)</f>
        <v>1074543</v>
      </c>
      <c r="FX12" s="230">
        <f>SUMIF(PLAN_201X!$B$2:$B$19,PLAN_201X!$B2,PLAN_201X!E$2:E$19)</f>
        <v>5183885.03</v>
      </c>
      <c r="FY12" s="224" t="str">
        <f>IF(PLAN_201X!F2="","",PLAN_201X!F2)</f>
        <v>APRL</v>
      </c>
      <c r="FZ12" s="197"/>
    </row>
    <row r="13" spans="1:182" s="153" customFormat="1" ht="13.5" hidden="1" customHeight="1">
      <c r="F13" s="154"/>
      <c r="G13" s="154"/>
      <c r="H13" s="154"/>
      <c r="J13" s="156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5"/>
      <c r="AB13" s="453"/>
      <c r="AC13" s="227" t="s">
        <v>1651</v>
      </c>
      <c r="AD13" s="227" t="str">
        <f>AC13 &amp; " :: ACTI"</f>
        <v>Газ сверхлимитный :: ACTI</v>
      </c>
      <c r="AE13" s="212"/>
      <c r="AF13" s="212"/>
      <c r="AG13" s="213">
        <f>IF(AK13=0,0,AN13/AK13*1000)</f>
        <v>8882.4</v>
      </c>
      <c r="AH13" s="213">
        <f>IF(AK13=0,0,AO13/AK13*1000)</f>
        <v>8882.4</v>
      </c>
      <c r="AI13" s="213">
        <f t="shared" si="0"/>
        <v>7611.3110539845748</v>
      </c>
      <c r="AJ13" s="213">
        <f t="shared" si="1"/>
        <v>7611.3110539845748</v>
      </c>
      <c r="AK13" s="213">
        <f t="shared" si="2"/>
        <v>17.849</v>
      </c>
      <c r="AL13" s="212"/>
      <c r="AM13" s="213">
        <f t="shared" si="3"/>
        <v>20.829783000000003</v>
      </c>
      <c r="AN13" s="213">
        <f t="shared" si="3"/>
        <v>158.54195759999999</v>
      </c>
      <c r="AO13" s="213">
        <f t="shared" si="3"/>
        <v>158.54195759999999</v>
      </c>
      <c r="AP13" s="212"/>
      <c r="AQ13" s="212"/>
      <c r="AR13" s="213">
        <f>SUMIF($AD$45:$AD$66,$AD13,AR$45:AR$66)</f>
        <v>0</v>
      </c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3">
        <f>IF(BS13=0,0,BV13/BS13*1000)</f>
        <v>8852.6</v>
      </c>
      <c r="BP13" s="213">
        <f>IF(BS13=0,0,BW13/BS13*1000)</f>
        <v>8852.6</v>
      </c>
      <c r="BQ13" s="213">
        <f t="shared" si="4"/>
        <v>7631.5517241379321</v>
      </c>
      <c r="BR13" s="213">
        <f t="shared" si="5"/>
        <v>7631.5517241379321</v>
      </c>
      <c r="BS13" s="213">
        <f t="shared" si="6"/>
        <v>10.7</v>
      </c>
      <c r="BT13" s="212"/>
      <c r="BU13" s="213">
        <f t="shared" si="7"/>
        <v>12.411999999999999</v>
      </c>
      <c r="BV13" s="213">
        <f t="shared" si="7"/>
        <v>94.722819999999999</v>
      </c>
      <c r="BW13" s="213">
        <f t="shared" si="7"/>
        <v>94.722819999999999</v>
      </c>
      <c r="BX13" s="212"/>
      <c r="BY13" s="212"/>
      <c r="BZ13" s="213">
        <f>SUMIF($AD$45:$AD$66,$AD13,BZ$45:BZ$66)</f>
        <v>0</v>
      </c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3">
        <f>IF(DA13=0,0,DD13/DA13*1000)</f>
        <v>8852.5999999999985</v>
      </c>
      <c r="CX13" s="213">
        <f>IF(DA13=0,0,DE13/DA13*1000)</f>
        <v>8852.5999999999985</v>
      </c>
      <c r="CY13" s="213">
        <f t="shared" si="8"/>
        <v>7607.2871014866378</v>
      </c>
      <c r="CZ13" s="213">
        <f t="shared" si="9"/>
        <v>7607.2871014866378</v>
      </c>
      <c r="DA13" s="213">
        <f t="shared" si="10"/>
        <v>10.696</v>
      </c>
      <c r="DB13" s="212"/>
      <c r="DC13" s="213">
        <f t="shared" si="11"/>
        <v>12.446935199999999</v>
      </c>
      <c r="DD13" s="213">
        <f t="shared" si="11"/>
        <v>94.687409599999995</v>
      </c>
      <c r="DE13" s="213">
        <f t="shared" si="11"/>
        <v>94.687409599999995</v>
      </c>
      <c r="DF13" s="212"/>
      <c r="DG13" s="212"/>
      <c r="DH13" s="213">
        <f>SUMIF($AD$45:$AD$66,$AD13,DH$45:DH$66)</f>
        <v>0</v>
      </c>
      <c r="DI13" s="212"/>
      <c r="DJ13" s="212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  <c r="DX13" s="212"/>
      <c r="DY13" s="212"/>
      <c r="DZ13" s="212"/>
      <c r="EA13" s="212"/>
      <c r="EB13" s="212"/>
      <c r="EC13" s="212"/>
      <c r="ED13" s="212"/>
      <c r="EE13" s="213">
        <f>IF(EI13=0,0,EL13/EI13*1000)</f>
        <v>8852.5999999999985</v>
      </c>
      <c r="EF13" s="213">
        <f>IF(EI13=0,0,EM13/EI13*1000)</f>
        <v>8852.5999999999985</v>
      </c>
      <c r="EG13" s="213">
        <f t="shared" si="12"/>
        <v>7611.2114177628746</v>
      </c>
      <c r="EH13" s="213">
        <f t="shared" si="13"/>
        <v>7611.2114177628746</v>
      </c>
      <c r="EI13" s="213">
        <f t="shared" si="14"/>
        <v>10.696</v>
      </c>
      <c r="EJ13" s="212"/>
      <c r="EK13" s="213">
        <f t="shared" si="15"/>
        <v>12.4405176</v>
      </c>
      <c r="EL13" s="213">
        <f t="shared" si="15"/>
        <v>94.687409599999995</v>
      </c>
      <c r="EM13" s="213">
        <f t="shared" si="15"/>
        <v>94.687409599999995</v>
      </c>
      <c r="EN13" s="212"/>
      <c r="EO13" s="212"/>
      <c r="EP13" s="213">
        <f>SUMIF($AD$45:$AD$66,$AD13,EP$45:EP$66)</f>
        <v>0</v>
      </c>
      <c r="EQ13" s="212"/>
      <c r="ER13" s="212"/>
      <c r="ES13" s="212"/>
      <c r="ET13" s="212"/>
      <c r="EU13" s="212"/>
      <c r="EV13" s="212"/>
      <c r="EW13" s="212"/>
      <c r="EX13" s="212"/>
      <c r="EY13" s="212"/>
      <c r="EZ13" s="212"/>
      <c r="FA13" s="212"/>
      <c r="FB13" s="212"/>
      <c r="FC13" s="212"/>
      <c r="FD13" s="212"/>
      <c r="FE13" s="212"/>
      <c r="FF13" s="212"/>
      <c r="FG13" s="212"/>
      <c r="FH13" s="212"/>
      <c r="FI13" s="212"/>
      <c r="FJ13" s="212"/>
      <c r="FK13"/>
      <c r="FL13"/>
      <c r="FM13"/>
      <c r="FN13"/>
      <c r="FO13"/>
      <c r="FP13"/>
      <c r="FQ13"/>
      <c r="FR13"/>
      <c r="FS13" s="217"/>
      <c r="FT13" s="490"/>
      <c r="FU13" s="226" t="s">
        <v>1651</v>
      </c>
      <c r="FV13" s="230">
        <f>SUMIF(PLAN_201X!$B$2:$B$19,PLAN_201X!$B3,PLAN_201X!C$2:C$19)</f>
        <v>4987.6099999999997</v>
      </c>
      <c r="FW13" s="230">
        <f>SUMIF(PLAN_201X!$B$2:$B$19,PLAN_201X!$B3,PLAN_201X!D$2:D$19)</f>
        <v>10751.69</v>
      </c>
      <c r="FX13" s="230">
        <f>SUMIF(PLAN_201X!$B$2:$B$19,PLAN_201X!$B3,PLAN_201X!E$2:E$19)</f>
        <v>53625.19</v>
      </c>
      <c r="FY13" s="215"/>
      <c r="FZ13" s="197"/>
    </row>
    <row r="14" spans="1:182" s="153" customFormat="1" ht="13.5" hidden="1" customHeight="1">
      <c r="F14" s="154"/>
      <c r="G14" s="154"/>
      <c r="H14" s="154"/>
      <c r="J14" s="156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5"/>
      <c r="AB14" s="453"/>
      <c r="AC14" s="227" t="s">
        <v>1652</v>
      </c>
      <c r="AD14" s="227" t="str">
        <f>AC14 &amp; " :: ACTI"</f>
        <v>Газ коммерческий :: ACTI</v>
      </c>
      <c r="AE14" s="212"/>
      <c r="AF14" s="212"/>
      <c r="AG14" s="213">
        <f>IF(AK14=0,0,AN14/AK14*1000)</f>
        <v>0</v>
      </c>
      <c r="AH14" s="213">
        <f>IF(AK14=0,0,AO14/AK14*1000)</f>
        <v>0</v>
      </c>
      <c r="AI14" s="213">
        <f t="shared" si="0"/>
        <v>0</v>
      </c>
      <c r="AJ14" s="213">
        <f t="shared" si="1"/>
        <v>0</v>
      </c>
      <c r="AK14" s="213">
        <f t="shared" si="2"/>
        <v>0</v>
      </c>
      <c r="AL14" s="212"/>
      <c r="AM14" s="213">
        <f t="shared" si="3"/>
        <v>0</v>
      </c>
      <c r="AN14" s="213">
        <f t="shared" si="3"/>
        <v>0</v>
      </c>
      <c r="AO14" s="213">
        <f t="shared" si="3"/>
        <v>0</v>
      </c>
      <c r="AP14" s="212"/>
      <c r="AQ14" s="212"/>
      <c r="AR14" s="213">
        <f>SUMIF($AD$45:$AD$66,$AD14,AR$45:AR$66)</f>
        <v>0</v>
      </c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3">
        <f>IF(BS14=0,0,BV14/BS14*1000)</f>
        <v>0</v>
      </c>
      <c r="BP14" s="213">
        <f>IF(BS14=0,0,BW14/BS14*1000)</f>
        <v>0</v>
      </c>
      <c r="BQ14" s="213">
        <f t="shared" si="4"/>
        <v>0</v>
      </c>
      <c r="BR14" s="213">
        <f t="shared" si="5"/>
        <v>0</v>
      </c>
      <c r="BS14" s="213">
        <f t="shared" si="6"/>
        <v>0</v>
      </c>
      <c r="BT14" s="212"/>
      <c r="BU14" s="213">
        <f t="shared" si="7"/>
        <v>0</v>
      </c>
      <c r="BV14" s="213">
        <f t="shared" si="7"/>
        <v>0</v>
      </c>
      <c r="BW14" s="213">
        <f t="shared" si="7"/>
        <v>0</v>
      </c>
      <c r="BX14" s="212"/>
      <c r="BY14" s="212"/>
      <c r="BZ14" s="213">
        <f>SUMIF($AD$45:$AD$66,$AD14,BZ$45:BZ$66)</f>
        <v>0</v>
      </c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3">
        <f>IF(DA14=0,0,DD14/DA14*1000)</f>
        <v>0</v>
      </c>
      <c r="CX14" s="213">
        <f>IF(DA14=0,0,DE14/DA14*1000)</f>
        <v>0</v>
      </c>
      <c r="CY14" s="213">
        <f t="shared" si="8"/>
        <v>0</v>
      </c>
      <c r="CZ14" s="213">
        <f t="shared" si="9"/>
        <v>0</v>
      </c>
      <c r="DA14" s="213">
        <f t="shared" si="10"/>
        <v>0</v>
      </c>
      <c r="DB14" s="212"/>
      <c r="DC14" s="213">
        <f t="shared" si="11"/>
        <v>0</v>
      </c>
      <c r="DD14" s="213">
        <f t="shared" si="11"/>
        <v>0</v>
      </c>
      <c r="DE14" s="213">
        <f t="shared" si="11"/>
        <v>0</v>
      </c>
      <c r="DF14" s="212"/>
      <c r="DG14" s="212"/>
      <c r="DH14" s="213">
        <f>SUMIF($AD$45:$AD$66,$AD14,DH$45:DH$66)</f>
        <v>0</v>
      </c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3">
        <f>IF(EI14=0,0,EL14/EI14*1000)</f>
        <v>0</v>
      </c>
      <c r="EF14" s="213">
        <f>IF(EI14=0,0,EM14/EI14*1000)</f>
        <v>0</v>
      </c>
      <c r="EG14" s="213">
        <f t="shared" si="12"/>
        <v>0</v>
      </c>
      <c r="EH14" s="213">
        <f t="shared" si="13"/>
        <v>0</v>
      </c>
      <c r="EI14" s="213">
        <f t="shared" si="14"/>
        <v>0</v>
      </c>
      <c r="EJ14" s="212"/>
      <c r="EK14" s="213">
        <f t="shared" si="15"/>
        <v>0</v>
      </c>
      <c r="EL14" s="213">
        <f t="shared" si="15"/>
        <v>0</v>
      </c>
      <c r="EM14" s="213">
        <f t="shared" si="15"/>
        <v>0</v>
      </c>
      <c r="EN14" s="212"/>
      <c r="EO14" s="212"/>
      <c r="EP14" s="213">
        <f>SUMIF($AD$45:$AD$66,$AD14,EP$45:EP$66)</f>
        <v>0</v>
      </c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212"/>
      <c r="FE14" s="212"/>
      <c r="FF14" s="212"/>
      <c r="FG14" s="212"/>
      <c r="FH14" s="212"/>
      <c r="FI14" s="212"/>
      <c r="FJ14" s="212"/>
      <c r="FK14"/>
      <c r="FL14"/>
      <c r="FM14"/>
      <c r="FN14"/>
      <c r="FO14"/>
      <c r="FP14"/>
      <c r="FQ14"/>
      <c r="FR14"/>
      <c r="FS14" s="217"/>
      <c r="FT14" s="490"/>
      <c r="FU14" s="226" t="s">
        <v>1652</v>
      </c>
      <c r="FV14" s="230">
        <f>SUMIF(PLAN_201X!$B$2:$B$19,PLAN_201X!$B4,PLAN_201X!C$2:C$19)</f>
        <v>0</v>
      </c>
      <c r="FW14" s="230">
        <f>SUMIF(PLAN_201X!$B$2:$B$19,PLAN_201X!$B4,PLAN_201X!D$2:D$19)</f>
        <v>0</v>
      </c>
      <c r="FX14" s="230">
        <f>SUMIF(PLAN_201X!$B$2:$B$19,PLAN_201X!$B4,PLAN_201X!E$2:E$19)</f>
        <v>0</v>
      </c>
      <c r="FY14" s="215"/>
      <c r="FZ14" s="197"/>
    </row>
    <row r="15" spans="1:182" s="153" customFormat="1" ht="13.5" hidden="1" customHeight="1">
      <c r="F15" s="154"/>
      <c r="G15" s="154"/>
      <c r="H15" s="154"/>
      <c r="I15" s="154"/>
      <c r="J15" s="154"/>
      <c r="K15" s="154"/>
      <c r="L15" s="154"/>
      <c r="M15" s="154"/>
      <c r="N15" s="154"/>
      <c r="O15" s="217" t="s">
        <v>1334</v>
      </c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5"/>
      <c r="AB15" s="221" t="s">
        <v>1741</v>
      </c>
      <c r="AC15" s="221" t="str">
        <f t="shared" ref="AC15:AC20" si="16">AB15</f>
        <v>Газовый конденсат</v>
      </c>
      <c r="AD15" s="221" t="str">
        <f>AC15 &amp; " :: ACTI"</f>
        <v>Газовый конденсат :: ACTI</v>
      </c>
      <c r="AE15" s="213">
        <f t="shared" ref="AE15:AE20" si="17">IF(AK15&gt;0,((AN15-AV15-BA15-BF15)/AK15*1000),0)</f>
        <v>0</v>
      </c>
      <c r="AF15" s="213">
        <f t="shared" ref="AF15:AF20" si="18">IF(AK15&gt;0,((AO15-AW15-BB15-BG15)/AK15*1000),0)</f>
        <v>0</v>
      </c>
      <c r="AG15" s="213">
        <f t="shared" ref="AG15:AG20" si="19">IF(AK15=0,0,AN15/AK15*1000)</f>
        <v>0</v>
      </c>
      <c r="AH15" s="213">
        <f t="shared" ref="AH15:AH20" si="20">IF(AK15=0,0,AO15/AK15*1000)</f>
        <v>0</v>
      </c>
      <c r="AI15" s="213">
        <f t="shared" si="0"/>
        <v>0</v>
      </c>
      <c r="AJ15" s="213">
        <f t="shared" si="1"/>
        <v>0</v>
      </c>
      <c r="AK15" s="213">
        <f t="shared" si="2"/>
        <v>0</v>
      </c>
      <c r="AL15" s="213"/>
      <c r="AM15" s="213">
        <f t="shared" si="3"/>
        <v>0</v>
      </c>
      <c r="AN15" s="213">
        <f t="shared" si="3"/>
        <v>0</v>
      </c>
      <c r="AO15" s="213">
        <f t="shared" si="3"/>
        <v>0</v>
      </c>
      <c r="AP15" s="213"/>
      <c r="AQ15" s="213"/>
      <c r="AR15" s="213"/>
      <c r="AS15" s="213">
        <f t="shared" ref="AS15:AS20" si="21">IF(AU15&gt;0,(AV15/AU15*1000),0)</f>
        <v>0</v>
      </c>
      <c r="AT15" s="213">
        <f t="shared" ref="AT15:AT20" si="22">IF(AU15&gt;0,(AW15/AU15*1000),0)</f>
        <v>0</v>
      </c>
      <c r="AU15" s="213">
        <f t="shared" ref="AU15:AW20" si="23">SUMIF($AD$45:$AD$66,$AD15,AU$45:AU$66)</f>
        <v>0</v>
      </c>
      <c r="AV15" s="213">
        <f t="shared" si="23"/>
        <v>0</v>
      </c>
      <c r="AW15" s="213">
        <f t="shared" si="23"/>
        <v>0</v>
      </c>
      <c r="AX15" s="213">
        <f t="shared" ref="AX15:AX20" si="24">IF(AZ15&gt;0,(BA15/AZ15*1000),0)</f>
        <v>0</v>
      </c>
      <c r="AY15" s="213">
        <f t="shared" ref="AY15:AY20" si="25">IF(AZ15&gt;0,(BB15/AZ15*1000),0)</f>
        <v>0</v>
      </c>
      <c r="AZ15" s="213">
        <f t="shared" ref="AZ15:BB20" si="26">SUMIF($AD$45:$AD$66,$AD15,AZ$45:AZ$66)</f>
        <v>0</v>
      </c>
      <c r="BA15" s="213">
        <f t="shared" si="26"/>
        <v>0</v>
      </c>
      <c r="BB15" s="213">
        <f t="shared" si="26"/>
        <v>0</v>
      </c>
      <c r="BC15" s="213">
        <f t="shared" ref="BC15:BC20" si="27">IF(BE15&gt;0,(BF15/BE15*1000),0)</f>
        <v>0</v>
      </c>
      <c r="BD15" s="213">
        <f t="shared" ref="BD15:BD20" si="28">IF(BE15&gt;0,(BG15/BE15*1000),0)</f>
        <v>0</v>
      </c>
      <c r="BE15" s="213">
        <f t="shared" ref="BE15:BG20" si="29">SUMIF($AD$45:$AD$66,$AD15,BE$45:BE$66)</f>
        <v>0</v>
      </c>
      <c r="BF15" s="213">
        <f t="shared" si="29"/>
        <v>0</v>
      </c>
      <c r="BG15" s="213">
        <f t="shared" si="29"/>
        <v>0</v>
      </c>
      <c r="BH15" s="212"/>
      <c r="BI15" s="212"/>
      <c r="BJ15" s="212"/>
      <c r="BK15" s="212"/>
      <c r="BL15" s="212"/>
      <c r="BM15" s="213">
        <f t="shared" ref="BM15:BM20" si="30">IF(BS15&gt;0,((BV15-CD15-CI15-CN15)/BS15*1000),0)</f>
        <v>0</v>
      </c>
      <c r="BN15" s="213">
        <f t="shared" ref="BN15:BN20" si="31">IF(BS15&gt;0,((BW15-CE15-CJ15-CO15)/BS15*1000),0)</f>
        <v>0</v>
      </c>
      <c r="BO15" s="213">
        <f t="shared" ref="BO15:BO20" si="32">IF(BS15=0,0,BV15/BS15*1000)</f>
        <v>0</v>
      </c>
      <c r="BP15" s="213">
        <f t="shared" ref="BP15:BP20" si="33">IF(BS15=0,0,BW15/BS15*1000)</f>
        <v>0</v>
      </c>
      <c r="BQ15" s="213">
        <f t="shared" si="4"/>
        <v>0</v>
      </c>
      <c r="BR15" s="213">
        <f t="shared" si="5"/>
        <v>0</v>
      </c>
      <c r="BS15" s="213">
        <f t="shared" si="6"/>
        <v>0</v>
      </c>
      <c r="BT15" s="213"/>
      <c r="BU15" s="213">
        <f t="shared" si="7"/>
        <v>0</v>
      </c>
      <c r="BV15" s="213">
        <f t="shared" si="7"/>
        <v>0</v>
      </c>
      <c r="BW15" s="213">
        <f t="shared" si="7"/>
        <v>0</v>
      </c>
      <c r="BX15" s="213"/>
      <c r="BY15" s="213"/>
      <c r="BZ15" s="213"/>
      <c r="CA15" s="213">
        <f t="shared" ref="CA15:CA20" si="34">IF(CC15&gt;0,(CD15/CC15*1000),0)</f>
        <v>0</v>
      </c>
      <c r="CB15" s="213">
        <f t="shared" ref="CB15:CB20" si="35">IF(CC15&gt;0,(CE15/CC15*1000),0)</f>
        <v>0</v>
      </c>
      <c r="CC15" s="213">
        <f t="shared" ref="CC15:CE20" si="36">SUMIF($AD$45:$AD$66,$AD15,CC$45:CC$66)</f>
        <v>0</v>
      </c>
      <c r="CD15" s="213">
        <f t="shared" si="36"/>
        <v>0</v>
      </c>
      <c r="CE15" s="213">
        <f t="shared" si="36"/>
        <v>0</v>
      </c>
      <c r="CF15" s="213">
        <f t="shared" ref="CF15:CF20" si="37">IF(CH15&gt;0,(CI15/CH15*1000),0)</f>
        <v>0</v>
      </c>
      <c r="CG15" s="213">
        <f t="shared" ref="CG15:CG20" si="38">IF(CH15&gt;0,(CJ15/CH15*1000),0)</f>
        <v>0</v>
      </c>
      <c r="CH15" s="213">
        <f t="shared" ref="CH15:CJ20" si="39">SUMIF($AD$45:$AD$66,$AD15,CH$45:CH$66)</f>
        <v>0</v>
      </c>
      <c r="CI15" s="213">
        <f t="shared" si="39"/>
        <v>0</v>
      </c>
      <c r="CJ15" s="213">
        <f t="shared" si="39"/>
        <v>0</v>
      </c>
      <c r="CK15" s="213">
        <f t="shared" ref="CK15:CK20" si="40">IF(CM15&gt;0,(CN15/CM15*1000),0)</f>
        <v>0</v>
      </c>
      <c r="CL15" s="213">
        <f t="shared" ref="CL15:CL20" si="41">IF(CM15&gt;0,(CO15/CM15*1000),0)</f>
        <v>0</v>
      </c>
      <c r="CM15" s="213">
        <f t="shared" ref="CM15:CO20" si="42">SUMIF($AD$45:$AD$66,$AD15,CM$45:CM$66)</f>
        <v>0</v>
      </c>
      <c r="CN15" s="213">
        <f t="shared" si="42"/>
        <v>0</v>
      </c>
      <c r="CO15" s="213">
        <f t="shared" si="42"/>
        <v>0</v>
      </c>
      <c r="CP15" s="212"/>
      <c r="CQ15" s="212"/>
      <c r="CR15" s="212"/>
      <c r="CS15" s="212"/>
      <c r="CT15" s="212"/>
      <c r="CU15" s="213">
        <f t="shared" ref="CU15:CU20" si="43">IF(DA15&gt;0,((DD15-DL15-DQ15-DV15)/DA15*1000),0)</f>
        <v>0</v>
      </c>
      <c r="CV15" s="213">
        <f t="shared" ref="CV15:CV20" si="44">IF(DA15&gt;0,((DE15-DM15-DR15-DW15)/DA15*1000),0)</f>
        <v>0</v>
      </c>
      <c r="CW15" s="213">
        <f t="shared" ref="CW15:CW20" si="45">IF(DA15=0,0,DD15/DA15*1000)</f>
        <v>0</v>
      </c>
      <c r="CX15" s="213">
        <f t="shared" ref="CX15:CX20" si="46">IF(DA15=0,0,DE15/DA15*1000)</f>
        <v>0</v>
      </c>
      <c r="CY15" s="213">
        <f t="shared" si="8"/>
        <v>0</v>
      </c>
      <c r="CZ15" s="213">
        <f t="shared" si="9"/>
        <v>0</v>
      </c>
      <c r="DA15" s="213">
        <f t="shared" si="10"/>
        <v>0</v>
      </c>
      <c r="DB15" s="213"/>
      <c r="DC15" s="213">
        <f t="shared" si="11"/>
        <v>0</v>
      </c>
      <c r="DD15" s="213">
        <f t="shared" si="11"/>
        <v>0</v>
      </c>
      <c r="DE15" s="213">
        <f t="shared" si="11"/>
        <v>0</v>
      </c>
      <c r="DF15" s="213"/>
      <c r="DG15" s="213"/>
      <c r="DH15" s="213"/>
      <c r="DI15" s="213">
        <f t="shared" ref="DI15:DI20" si="47">IF(DK15&gt;0,(DL15/DK15*1000),0)</f>
        <v>0</v>
      </c>
      <c r="DJ15" s="213">
        <f t="shared" ref="DJ15:DJ20" si="48">IF(DK15&gt;0,(DM15/DK15*1000),0)</f>
        <v>0</v>
      </c>
      <c r="DK15" s="213">
        <f t="shared" ref="DK15:DM20" si="49">SUMIF($AD$45:$AD$66,$AD15,DK$45:DK$66)</f>
        <v>0</v>
      </c>
      <c r="DL15" s="213">
        <f t="shared" si="49"/>
        <v>0</v>
      </c>
      <c r="DM15" s="213">
        <f t="shared" si="49"/>
        <v>0</v>
      </c>
      <c r="DN15" s="213">
        <f t="shared" ref="DN15:DN20" si="50">IF(DP15&gt;0,(DQ15/DP15*1000),0)</f>
        <v>0</v>
      </c>
      <c r="DO15" s="213">
        <f t="shared" ref="DO15:DO20" si="51">IF(DP15&gt;0,(DR15/DP15*1000),0)</f>
        <v>0</v>
      </c>
      <c r="DP15" s="213">
        <f t="shared" ref="DP15:DR20" si="52">SUMIF($AD$45:$AD$66,$AD15,DP$45:DP$66)</f>
        <v>0</v>
      </c>
      <c r="DQ15" s="213">
        <f t="shared" si="52"/>
        <v>0</v>
      </c>
      <c r="DR15" s="213">
        <f t="shared" si="52"/>
        <v>0</v>
      </c>
      <c r="DS15" s="213">
        <f t="shared" ref="DS15:DS20" si="53">IF(DU15&gt;0,(DV15/DU15*1000),0)</f>
        <v>0</v>
      </c>
      <c r="DT15" s="213">
        <f t="shared" ref="DT15:DT20" si="54">IF(DU15&gt;0,(DW15/DU15*1000),0)</f>
        <v>0</v>
      </c>
      <c r="DU15" s="213">
        <f t="shared" ref="DU15:DW20" si="55">SUMIF($AD$45:$AD$66,$AD15,DU$45:DU$66)</f>
        <v>0</v>
      </c>
      <c r="DV15" s="213">
        <f t="shared" si="55"/>
        <v>0</v>
      </c>
      <c r="DW15" s="213">
        <f t="shared" si="55"/>
        <v>0</v>
      </c>
      <c r="DX15" s="212"/>
      <c r="DY15" s="212"/>
      <c r="DZ15" s="212"/>
      <c r="EA15" s="212"/>
      <c r="EB15" s="212"/>
      <c r="EC15" s="213">
        <f t="shared" ref="EC15:EC20" si="56">IF(EI15&gt;0,((EL15-ET15-EY15-FD15)/EI15*1000),0)</f>
        <v>0</v>
      </c>
      <c r="ED15" s="213">
        <f t="shared" ref="ED15:ED20" si="57">IF(EI15&gt;0,((EM15-EU15-EZ15-FE15)/EI15*1000),0)</f>
        <v>0</v>
      </c>
      <c r="EE15" s="213">
        <f t="shared" ref="EE15:EE20" si="58">IF(EI15=0,0,EL15/EI15*1000)</f>
        <v>0</v>
      </c>
      <c r="EF15" s="213">
        <f t="shared" ref="EF15:EF20" si="59">IF(EI15=0,0,EM15/EI15*1000)</f>
        <v>0</v>
      </c>
      <c r="EG15" s="213">
        <f t="shared" si="12"/>
        <v>0</v>
      </c>
      <c r="EH15" s="213">
        <f t="shared" si="13"/>
        <v>0</v>
      </c>
      <c r="EI15" s="213">
        <f t="shared" si="14"/>
        <v>0</v>
      </c>
      <c r="EJ15" s="213"/>
      <c r="EK15" s="213">
        <f t="shared" si="15"/>
        <v>0</v>
      </c>
      <c r="EL15" s="213">
        <f t="shared" si="15"/>
        <v>0</v>
      </c>
      <c r="EM15" s="213">
        <f t="shared" si="15"/>
        <v>0</v>
      </c>
      <c r="EN15" s="213"/>
      <c r="EO15" s="213"/>
      <c r="EP15" s="213"/>
      <c r="EQ15" s="213">
        <f t="shared" ref="EQ15:EQ20" si="60">IF(ES15&gt;0,(ET15/ES15*1000),0)</f>
        <v>0</v>
      </c>
      <c r="ER15" s="213">
        <f t="shared" ref="ER15:ER20" si="61">IF(ES15&gt;0,(EU15/ES15*1000),0)</f>
        <v>0</v>
      </c>
      <c r="ES15" s="213">
        <f t="shared" ref="ES15:EU20" si="62">SUMIF($AD$45:$AD$66,$AD15,ES$45:ES$66)</f>
        <v>0</v>
      </c>
      <c r="ET15" s="213">
        <f t="shared" si="62"/>
        <v>0</v>
      </c>
      <c r="EU15" s="213">
        <f t="shared" si="62"/>
        <v>0</v>
      </c>
      <c r="EV15" s="213">
        <f t="shared" ref="EV15:EV20" si="63">IF(EX15&gt;0,(EY15/EX15*1000),0)</f>
        <v>0</v>
      </c>
      <c r="EW15" s="213">
        <f t="shared" ref="EW15:EW20" si="64">IF(EX15&gt;0,(EZ15/EX15*1000),0)</f>
        <v>0</v>
      </c>
      <c r="EX15" s="213">
        <f t="shared" ref="EX15:EZ20" si="65">SUMIF($AD$45:$AD$66,$AD15,EX$45:EX$66)</f>
        <v>0</v>
      </c>
      <c r="EY15" s="213">
        <f t="shared" si="65"/>
        <v>0</v>
      </c>
      <c r="EZ15" s="213">
        <f t="shared" si="65"/>
        <v>0</v>
      </c>
      <c r="FA15" s="213">
        <f t="shared" ref="FA15:FA20" si="66">IF(FC15&gt;0,(FD15/FC15*1000),0)</f>
        <v>0</v>
      </c>
      <c r="FB15" s="213">
        <f t="shared" ref="FB15:FB20" si="67">IF(FC15&gt;0,(FE15/FC15*1000),0)</f>
        <v>0</v>
      </c>
      <c r="FC15" s="213">
        <f t="shared" ref="FC15:FE20" si="68">SUMIF($AD$45:$AD$66,$AD15,FC$45:FC$66)</f>
        <v>0</v>
      </c>
      <c r="FD15" s="213">
        <f t="shared" si="68"/>
        <v>0</v>
      </c>
      <c r="FE15" s="213">
        <f t="shared" si="68"/>
        <v>0</v>
      </c>
      <c r="FF15" s="212"/>
      <c r="FG15" s="212"/>
      <c r="FH15" s="212"/>
      <c r="FI15" s="212"/>
      <c r="FJ15" s="212"/>
      <c r="FK15"/>
      <c r="FL15"/>
      <c r="FM15"/>
      <c r="FN15"/>
      <c r="FO15"/>
      <c r="FP15"/>
      <c r="FQ15"/>
      <c r="FR15"/>
      <c r="FS15" s="217"/>
      <c r="FT15" s="226" t="s">
        <v>1525</v>
      </c>
      <c r="FU15" s="216" t="str">
        <f>FT15</f>
        <v>Газ сжиженный</v>
      </c>
      <c r="FV15" s="230">
        <f>SUMIF(PLAN_201X!$B$2:$B$19,PLAN_201X!$B5,PLAN_201X!C$2:C$19)</f>
        <v>0</v>
      </c>
      <c r="FW15" s="230">
        <f>SUMIF(PLAN_201X!$B$2:$B$19,PLAN_201X!$B5,PLAN_201X!D$2:D$19)</f>
        <v>0</v>
      </c>
      <c r="FX15" s="230">
        <f>SUMIF(PLAN_201X!$B$2:$B$19,PLAN_201X!$B5,PLAN_201X!E$2:E$19)</f>
        <v>0</v>
      </c>
      <c r="FY15" s="215"/>
      <c r="FZ15" s="197"/>
    </row>
    <row r="16" spans="1:182" s="153" customFormat="1" ht="13.5" hidden="1" customHeight="1">
      <c r="F16" s="154"/>
      <c r="G16" s="154"/>
      <c r="H16" s="154"/>
      <c r="I16" s="154"/>
      <c r="J16" s="154"/>
      <c r="K16" s="154"/>
      <c r="L16" s="154"/>
      <c r="M16" s="154"/>
      <c r="N16" s="154"/>
      <c r="O16" s="217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5"/>
      <c r="AB16" s="221" t="s">
        <v>1525</v>
      </c>
      <c r="AC16" s="221" t="str">
        <f t="shared" si="16"/>
        <v>Газ сжиженный</v>
      </c>
      <c r="AD16" s="221" t="str">
        <f>AC16 &amp; " :: ACTI"</f>
        <v>Газ сжиженный :: ACTI</v>
      </c>
      <c r="AE16" s="213">
        <f t="shared" si="17"/>
        <v>0</v>
      </c>
      <c r="AF16" s="213">
        <f t="shared" si="18"/>
        <v>0</v>
      </c>
      <c r="AG16" s="213">
        <f t="shared" si="19"/>
        <v>0</v>
      </c>
      <c r="AH16" s="213">
        <f t="shared" si="20"/>
        <v>0</v>
      </c>
      <c r="AI16" s="213">
        <f t="shared" si="0"/>
        <v>0</v>
      </c>
      <c r="AJ16" s="213">
        <f t="shared" si="1"/>
        <v>0</v>
      </c>
      <c r="AK16" s="213">
        <f t="shared" si="2"/>
        <v>0</v>
      </c>
      <c r="AL16" s="213"/>
      <c r="AM16" s="213">
        <f t="shared" si="3"/>
        <v>0</v>
      </c>
      <c r="AN16" s="213">
        <f t="shared" si="3"/>
        <v>0</v>
      </c>
      <c r="AO16" s="213">
        <f t="shared" si="3"/>
        <v>0</v>
      </c>
      <c r="AP16" s="213"/>
      <c r="AQ16" s="213"/>
      <c r="AR16" s="213"/>
      <c r="AS16" s="213">
        <f t="shared" si="21"/>
        <v>0</v>
      </c>
      <c r="AT16" s="213">
        <f t="shared" si="22"/>
        <v>0</v>
      </c>
      <c r="AU16" s="213">
        <f t="shared" si="23"/>
        <v>0</v>
      </c>
      <c r="AV16" s="213">
        <f t="shared" si="23"/>
        <v>0</v>
      </c>
      <c r="AW16" s="213">
        <f t="shared" si="23"/>
        <v>0</v>
      </c>
      <c r="AX16" s="213">
        <f t="shared" si="24"/>
        <v>0</v>
      </c>
      <c r="AY16" s="213">
        <f t="shared" si="25"/>
        <v>0</v>
      </c>
      <c r="AZ16" s="213">
        <f t="shared" si="26"/>
        <v>0</v>
      </c>
      <c r="BA16" s="213">
        <f t="shared" si="26"/>
        <v>0</v>
      </c>
      <c r="BB16" s="213">
        <f t="shared" si="26"/>
        <v>0</v>
      </c>
      <c r="BC16" s="213">
        <f t="shared" si="27"/>
        <v>0</v>
      </c>
      <c r="BD16" s="213">
        <f t="shared" si="28"/>
        <v>0</v>
      </c>
      <c r="BE16" s="213">
        <f t="shared" si="29"/>
        <v>0</v>
      </c>
      <c r="BF16" s="213">
        <f t="shared" si="29"/>
        <v>0</v>
      </c>
      <c r="BG16" s="213">
        <f t="shared" si="29"/>
        <v>0</v>
      </c>
      <c r="BH16" s="212"/>
      <c r="BI16" s="212"/>
      <c r="BJ16" s="212"/>
      <c r="BK16" s="212"/>
      <c r="BL16" s="212"/>
      <c r="BM16" s="213">
        <f t="shared" si="30"/>
        <v>0</v>
      </c>
      <c r="BN16" s="213">
        <f t="shared" si="31"/>
        <v>0</v>
      </c>
      <c r="BO16" s="213">
        <f t="shared" si="32"/>
        <v>0</v>
      </c>
      <c r="BP16" s="213">
        <f t="shared" si="33"/>
        <v>0</v>
      </c>
      <c r="BQ16" s="213">
        <f t="shared" si="4"/>
        <v>0</v>
      </c>
      <c r="BR16" s="213">
        <f t="shared" si="5"/>
        <v>0</v>
      </c>
      <c r="BS16" s="213">
        <f t="shared" si="6"/>
        <v>0</v>
      </c>
      <c r="BT16" s="213"/>
      <c r="BU16" s="213">
        <f t="shared" si="7"/>
        <v>0</v>
      </c>
      <c r="BV16" s="213">
        <f t="shared" si="7"/>
        <v>0</v>
      </c>
      <c r="BW16" s="213">
        <f t="shared" si="7"/>
        <v>0</v>
      </c>
      <c r="BX16" s="213"/>
      <c r="BY16" s="213"/>
      <c r="BZ16" s="213"/>
      <c r="CA16" s="213">
        <f t="shared" si="34"/>
        <v>0</v>
      </c>
      <c r="CB16" s="213">
        <f t="shared" si="35"/>
        <v>0</v>
      </c>
      <c r="CC16" s="213">
        <f t="shared" si="36"/>
        <v>0</v>
      </c>
      <c r="CD16" s="213">
        <f t="shared" si="36"/>
        <v>0</v>
      </c>
      <c r="CE16" s="213">
        <f t="shared" si="36"/>
        <v>0</v>
      </c>
      <c r="CF16" s="213">
        <f t="shared" si="37"/>
        <v>0</v>
      </c>
      <c r="CG16" s="213">
        <f t="shared" si="38"/>
        <v>0</v>
      </c>
      <c r="CH16" s="213">
        <f t="shared" si="39"/>
        <v>0</v>
      </c>
      <c r="CI16" s="213">
        <f t="shared" si="39"/>
        <v>0</v>
      </c>
      <c r="CJ16" s="213">
        <f t="shared" si="39"/>
        <v>0</v>
      </c>
      <c r="CK16" s="213">
        <f t="shared" si="40"/>
        <v>0</v>
      </c>
      <c r="CL16" s="213">
        <f t="shared" si="41"/>
        <v>0</v>
      </c>
      <c r="CM16" s="213">
        <f t="shared" si="42"/>
        <v>0</v>
      </c>
      <c r="CN16" s="213">
        <f t="shared" si="42"/>
        <v>0</v>
      </c>
      <c r="CO16" s="213">
        <f t="shared" si="42"/>
        <v>0</v>
      </c>
      <c r="CP16" s="212"/>
      <c r="CQ16" s="212"/>
      <c r="CR16" s="212"/>
      <c r="CS16" s="212"/>
      <c r="CT16" s="212"/>
      <c r="CU16" s="213">
        <f t="shared" si="43"/>
        <v>0</v>
      </c>
      <c r="CV16" s="213">
        <f t="shared" si="44"/>
        <v>0</v>
      </c>
      <c r="CW16" s="213">
        <f t="shared" si="45"/>
        <v>0</v>
      </c>
      <c r="CX16" s="213">
        <f t="shared" si="46"/>
        <v>0</v>
      </c>
      <c r="CY16" s="213">
        <f t="shared" si="8"/>
        <v>0</v>
      </c>
      <c r="CZ16" s="213">
        <f t="shared" si="9"/>
        <v>0</v>
      </c>
      <c r="DA16" s="213">
        <f t="shared" si="10"/>
        <v>0</v>
      </c>
      <c r="DB16" s="213"/>
      <c r="DC16" s="213">
        <f t="shared" si="11"/>
        <v>0</v>
      </c>
      <c r="DD16" s="213">
        <f t="shared" si="11"/>
        <v>0</v>
      </c>
      <c r="DE16" s="213">
        <f t="shared" si="11"/>
        <v>0</v>
      </c>
      <c r="DF16" s="213"/>
      <c r="DG16" s="213"/>
      <c r="DH16" s="213"/>
      <c r="DI16" s="213">
        <f t="shared" si="47"/>
        <v>0</v>
      </c>
      <c r="DJ16" s="213">
        <f t="shared" si="48"/>
        <v>0</v>
      </c>
      <c r="DK16" s="213">
        <f t="shared" si="49"/>
        <v>0</v>
      </c>
      <c r="DL16" s="213">
        <f t="shared" si="49"/>
        <v>0</v>
      </c>
      <c r="DM16" s="213">
        <f t="shared" si="49"/>
        <v>0</v>
      </c>
      <c r="DN16" s="213">
        <f t="shared" si="50"/>
        <v>0</v>
      </c>
      <c r="DO16" s="213">
        <f t="shared" si="51"/>
        <v>0</v>
      </c>
      <c r="DP16" s="213">
        <f t="shared" si="52"/>
        <v>0</v>
      </c>
      <c r="DQ16" s="213">
        <f t="shared" si="52"/>
        <v>0</v>
      </c>
      <c r="DR16" s="213">
        <f t="shared" si="52"/>
        <v>0</v>
      </c>
      <c r="DS16" s="213">
        <f t="shared" si="53"/>
        <v>0</v>
      </c>
      <c r="DT16" s="213">
        <f t="shared" si="54"/>
        <v>0</v>
      </c>
      <c r="DU16" s="213">
        <f t="shared" si="55"/>
        <v>0</v>
      </c>
      <c r="DV16" s="213">
        <f t="shared" si="55"/>
        <v>0</v>
      </c>
      <c r="DW16" s="213">
        <f t="shared" si="55"/>
        <v>0</v>
      </c>
      <c r="DX16" s="212"/>
      <c r="DY16" s="212"/>
      <c r="DZ16" s="212"/>
      <c r="EA16" s="212"/>
      <c r="EB16" s="212"/>
      <c r="EC16" s="213">
        <f t="shared" si="56"/>
        <v>0</v>
      </c>
      <c r="ED16" s="213">
        <f t="shared" si="57"/>
        <v>0</v>
      </c>
      <c r="EE16" s="213">
        <f t="shared" si="58"/>
        <v>0</v>
      </c>
      <c r="EF16" s="213">
        <f t="shared" si="59"/>
        <v>0</v>
      </c>
      <c r="EG16" s="213">
        <f t="shared" si="12"/>
        <v>0</v>
      </c>
      <c r="EH16" s="213">
        <f t="shared" si="13"/>
        <v>0</v>
      </c>
      <c r="EI16" s="213">
        <f t="shared" si="14"/>
        <v>0</v>
      </c>
      <c r="EJ16" s="213"/>
      <c r="EK16" s="213">
        <f t="shared" si="15"/>
        <v>0</v>
      </c>
      <c r="EL16" s="213">
        <f t="shared" si="15"/>
        <v>0</v>
      </c>
      <c r="EM16" s="213">
        <f t="shared" si="15"/>
        <v>0</v>
      </c>
      <c r="EN16" s="213"/>
      <c r="EO16" s="213"/>
      <c r="EP16" s="213"/>
      <c r="EQ16" s="213">
        <f t="shared" si="60"/>
        <v>0</v>
      </c>
      <c r="ER16" s="213">
        <f t="shared" si="61"/>
        <v>0</v>
      </c>
      <c r="ES16" s="213">
        <f t="shared" si="62"/>
        <v>0</v>
      </c>
      <c r="ET16" s="213">
        <f t="shared" si="62"/>
        <v>0</v>
      </c>
      <c r="EU16" s="213">
        <f t="shared" si="62"/>
        <v>0</v>
      </c>
      <c r="EV16" s="213">
        <f t="shared" si="63"/>
        <v>0</v>
      </c>
      <c r="EW16" s="213">
        <f t="shared" si="64"/>
        <v>0</v>
      </c>
      <c r="EX16" s="213">
        <f t="shared" si="65"/>
        <v>0</v>
      </c>
      <c r="EY16" s="213">
        <f t="shared" si="65"/>
        <v>0</v>
      </c>
      <c r="EZ16" s="213">
        <f t="shared" si="65"/>
        <v>0</v>
      </c>
      <c r="FA16" s="213">
        <f t="shared" si="66"/>
        <v>0</v>
      </c>
      <c r="FB16" s="213">
        <f t="shared" si="67"/>
        <v>0</v>
      </c>
      <c r="FC16" s="213">
        <f t="shared" si="68"/>
        <v>0</v>
      </c>
      <c r="FD16" s="213">
        <f t="shared" si="68"/>
        <v>0</v>
      </c>
      <c r="FE16" s="213">
        <f t="shared" si="68"/>
        <v>0</v>
      </c>
      <c r="FF16" s="212"/>
      <c r="FG16" s="212"/>
      <c r="FH16" s="212"/>
      <c r="FI16" s="212"/>
      <c r="FJ16" s="212"/>
      <c r="FK16"/>
      <c r="FL16"/>
      <c r="FM16"/>
      <c r="FN16"/>
      <c r="FO16"/>
      <c r="FP16"/>
      <c r="FQ16"/>
      <c r="FR16"/>
      <c r="FS16" s="217"/>
      <c r="FT16" s="225" t="s">
        <v>1580</v>
      </c>
      <c r="FU16" s="216" t="str">
        <f>FT16</f>
        <v>Дизельное топливо</v>
      </c>
      <c r="FV16" s="230">
        <f>SUMIF(PLAN_201X!$B$2:$B$19,PLAN_201X!$B6,PLAN_201X!C$2:C$19)</f>
        <v>0</v>
      </c>
      <c r="FW16" s="230">
        <f>SUMIF(PLAN_201X!$B$2:$B$19,PLAN_201X!$B6,PLAN_201X!D$2:D$19)</f>
        <v>0</v>
      </c>
      <c r="FX16" s="230">
        <f>SUMIF(PLAN_201X!$B$2:$B$19,PLAN_201X!$B6,PLAN_201X!E$2:E$19)</f>
        <v>0</v>
      </c>
      <c r="FY16" s="215"/>
      <c r="FZ16" s="197"/>
    </row>
    <row r="17" spans="6:182" s="153" customFormat="1" ht="13.5" hidden="1" customHeight="1">
      <c r="F17" s="154"/>
      <c r="G17" s="154"/>
      <c r="H17" s="154"/>
      <c r="I17" s="154"/>
      <c r="J17" s="154"/>
      <c r="K17" s="154"/>
      <c r="L17" s="154"/>
      <c r="M17" s="154"/>
      <c r="N17" s="154"/>
      <c r="O17" s="217" t="s">
        <v>636</v>
      </c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5"/>
      <c r="AB17" s="221" t="s">
        <v>1580</v>
      </c>
      <c r="AC17" s="221" t="str">
        <f t="shared" si="16"/>
        <v>Дизельное топливо</v>
      </c>
      <c r="AD17" s="221" t="str">
        <f t="shared" ref="AD17:AD29" si="69">AC17 &amp; " :: ACTI"</f>
        <v>Дизельное топливо :: ACTI</v>
      </c>
      <c r="AE17" s="213">
        <f t="shared" si="17"/>
        <v>0</v>
      </c>
      <c r="AF17" s="213">
        <f t="shared" si="18"/>
        <v>0</v>
      </c>
      <c r="AG17" s="213">
        <f t="shared" si="19"/>
        <v>0</v>
      </c>
      <c r="AH17" s="213">
        <f t="shared" si="20"/>
        <v>0</v>
      </c>
      <c r="AI17" s="213">
        <f t="shared" si="0"/>
        <v>0</v>
      </c>
      <c r="AJ17" s="213">
        <f t="shared" si="1"/>
        <v>0</v>
      </c>
      <c r="AK17" s="213">
        <f t="shared" si="2"/>
        <v>0</v>
      </c>
      <c r="AL17" s="213"/>
      <c r="AM17" s="213">
        <f t="shared" si="3"/>
        <v>0</v>
      </c>
      <c r="AN17" s="213">
        <f t="shared" si="3"/>
        <v>0</v>
      </c>
      <c r="AO17" s="213">
        <f t="shared" si="3"/>
        <v>0</v>
      </c>
      <c r="AP17" s="213"/>
      <c r="AQ17" s="213"/>
      <c r="AR17" s="213"/>
      <c r="AS17" s="213">
        <f t="shared" si="21"/>
        <v>0</v>
      </c>
      <c r="AT17" s="213">
        <f t="shared" si="22"/>
        <v>0</v>
      </c>
      <c r="AU17" s="213">
        <f t="shared" si="23"/>
        <v>0</v>
      </c>
      <c r="AV17" s="213">
        <f t="shared" si="23"/>
        <v>0</v>
      </c>
      <c r="AW17" s="213">
        <f t="shared" si="23"/>
        <v>0</v>
      </c>
      <c r="AX17" s="213">
        <f t="shared" si="24"/>
        <v>0</v>
      </c>
      <c r="AY17" s="213">
        <f t="shared" si="25"/>
        <v>0</v>
      </c>
      <c r="AZ17" s="213">
        <f t="shared" si="26"/>
        <v>0</v>
      </c>
      <c r="BA17" s="213">
        <f t="shared" si="26"/>
        <v>0</v>
      </c>
      <c r="BB17" s="213">
        <f t="shared" si="26"/>
        <v>0</v>
      </c>
      <c r="BC17" s="213">
        <f t="shared" si="27"/>
        <v>0</v>
      </c>
      <c r="BD17" s="213">
        <f t="shared" si="28"/>
        <v>0</v>
      </c>
      <c r="BE17" s="213">
        <f t="shared" si="29"/>
        <v>0</v>
      </c>
      <c r="BF17" s="213">
        <f t="shared" si="29"/>
        <v>0</v>
      </c>
      <c r="BG17" s="213">
        <f t="shared" si="29"/>
        <v>0</v>
      </c>
      <c r="BH17" s="212"/>
      <c r="BI17" s="212"/>
      <c r="BJ17" s="212"/>
      <c r="BK17" s="212"/>
      <c r="BL17" s="212"/>
      <c r="BM17" s="213">
        <f t="shared" si="30"/>
        <v>0</v>
      </c>
      <c r="BN17" s="213">
        <f t="shared" si="31"/>
        <v>0</v>
      </c>
      <c r="BO17" s="213">
        <f t="shared" si="32"/>
        <v>0</v>
      </c>
      <c r="BP17" s="213">
        <f t="shared" si="33"/>
        <v>0</v>
      </c>
      <c r="BQ17" s="213">
        <f t="shared" si="4"/>
        <v>0</v>
      </c>
      <c r="BR17" s="213">
        <f t="shared" si="5"/>
        <v>0</v>
      </c>
      <c r="BS17" s="213">
        <f t="shared" si="6"/>
        <v>0</v>
      </c>
      <c r="BT17" s="213"/>
      <c r="BU17" s="213">
        <f t="shared" si="7"/>
        <v>0</v>
      </c>
      <c r="BV17" s="213">
        <f t="shared" si="7"/>
        <v>0</v>
      </c>
      <c r="BW17" s="213">
        <f t="shared" si="7"/>
        <v>0</v>
      </c>
      <c r="BX17" s="213"/>
      <c r="BY17" s="213"/>
      <c r="BZ17" s="213"/>
      <c r="CA17" s="213">
        <f t="shared" si="34"/>
        <v>0</v>
      </c>
      <c r="CB17" s="213">
        <f t="shared" si="35"/>
        <v>0</v>
      </c>
      <c r="CC17" s="213">
        <f t="shared" si="36"/>
        <v>0</v>
      </c>
      <c r="CD17" s="213">
        <f t="shared" si="36"/>
        <v>0</v>
      </c>
      <c r="CE17" s="213">
        <f t="shared" si="36"/>
        <v>0</v>
      </c>
      <c r="CF17" s="213">
        <f t="shared" si="37"/>
        <v>0</v>
      </c>
      <c r="CG17" s="213">
        <f t="shared" si="38"/>
        <v>0</v>
      </c>
      <c r="CH17" s="213">
        <f t="shared" si="39"/>
        <v>0</v>
      </c>
      <c r="CI17" s="213">
        <f t="shared" si="39"/>
        <v>0</v>
      </c>
      <c r="CJ17" s="213">
        <f t="shared" si="39"/>
        <v>0</v>
      </c>
      <c r="CK17" s="213">
        <f t="shared" si="40"/>
        <v>0</v>
      </c>
      <c r="CL17" s="213">
        <f t="shared" si="41"/>
        <v>0</v>
      </c>
      <c r="CM17" s="213">
        <f t="shared" si="42"/>
        <v>0</v>
      </c>
      <c r="CN17" s="213">
        <f t="shared" si="42"/>
        <v>0</v>
      </c>
      <c r="CO17" s="213">
        <f t="shared" si="42"/>
        <v>0</v>
      </c>
      <c r="CP17" s="212"/>
      <c r="CQ17" s="212"/>
      <c r="CR17" s="212"/>
      <c r="CS17" s="212"/>
      <c r="CT17" s="212"/>
      <c r="CU17" s="213">
        <f t="shared" si="43"/>
        <v>0</v>
      </c>
      <c r="CV17" s="213">
        <f t="shared" si="44"/>
        <v>0</v>
      </c>
      <c r="CW17" s="213">
        <f t="shared" si="45"/>
        <v>0</v>
      </c>
      <c r="CX17" s="213">
        <f t="shared" si="46"/>
        <v>0</v>
      </c>
      <c r="CY17" s="213">
        <f t="shared" si="8"/>
        <v>0</v>
      </c>
      <c r="CZ17" s="213">
        <f t="shared" si="9"/>
        <v>0</v>
      </c>
      <c r="DA17" s="213">
        <f t="shared" si="10"/>
        <v>0</v>
      </c>
      <c r="DB17" s="213"/>
      <c r="DC17" s="213">
        <f t="shared" si="11"/>
        <v>0</v>
      </c>
      <c r="DD17" s="213">
        <f t="shared" si="11"/>
        <v>0</v>
      </c>
      <c r="DE17" s="213">
        <f t="shared" si="11"/>
        <v>0</v>
      </c>
      <c r="DF17" s="213"/>
      <c r="DG17" s="213"/>
      <c r="DH17" s="213"/>
      <c r="DI17" s="213">
        <f t="shared" si="47"/>
        <v>0</v>
      </c>
      <c r="DJ17" s="213">
        <f t="shared" si="48"/>
        <v>0</v>
      </c>
      <c r="DK17" s="213">
        <f t="shared" si="49"/>
        <v>0</v>
      </c>
      <c r="DL17" s="213">
        <f t="shared" si="49"/>
        <v>0</v>
      </c>
      <c r="DM17" s="213">
        <f t="shared" si="49"/>
        <v>0</v>
      </c>
      <c r="DN17" s="213">
        <f t="shared" si="50"/>
        <v>0</v>
      </c>
      <c r="DO17" s="213">
        <f t="shared" si="51"/>
        <v>0</v>
      </c>
      <c r="DP17" s="213">
        <f t="shared" si="52"/>
        <v>0</v>
      </c>
      <c r="DQ17" s="213">
        <f t="shared" si="52"/>
        <v>0</v>
      </c>
      <c r="DR17" s="213">
        <f t="shared" si="52"/>
        <v>0</v>
      </c>
      <c r="DS17" s="213">
        <f t="shared" si="53"/>
        <v>0</v>
      </c>
      <c r="DT17" s="213">
        <f t="shared" si="54"/>
        <v>0</v>
      </c>
      <c r="DU17" s="213">
        <f t="shared" si="55"/>
        <v>0</v>
      </c>
      <c r="DV17" s="213">
        <f t="shared" si="55"/>
        <v>0</v>
      </c>
      <c r="DW17" s="213">
        <f t="shared" si="55"/>
        <v>0</v>
      </c>
      <c r="DX17" s="212"/>
      <c r="DY17" s="212"/>
      <c r="DZ17" s="212"/>
      <c r="EA17" s="212"/>
      <c r="EB17" s="212"/>
      <c r="EC17" s="213">
        <f t="shared" si="56"/>
        <v>0</v>
      </c>
      <c r="ED17" s="213">
        <f t="shared" si="57"/>
        <v>0</v>
      </c>
      <c r="EE17" s="213">
        <f t="shared" si="58"/>
        <v>0</v>
      </c>
      <c r="EF17" s="213">
        <f t="shared" si="59"/>
        <v>0</v>
      </c>
      <c r="EG17" s="213">
        <f t="shared" si="12"/>
        <v>0</v>
      </c>
      <c r="EH17" s="213">
        <f t="shared" si="13"/>
        <v>0</v>
      </c>
      <c r="EI17" s="213">
        <f t="shared" si="14"/>
        <v>0</v>
      </c>
      <c r="EJ17" s="213"/>
      <c r="EK17" s="213">
        <f t="shared" si="15"/>
        <v>0</v>
      </c>
      <c r="EL17" s="213">
        <f t="shared" si="15"/>
        <v>0</v>
      </c>
      <c r="EM17" s="213">
        <f t="shared" si="15"/>
        <v>0</v>
      </c>
      <c r="EN17" s="213"/>
      <c r="EO17" s="213"/>
      <c r="EP17" s="213"/>
      <c r="EQ17" s="213">
        <f t="shared" si="60"/>
        <v>0</v>
      </c>
      <c r="ER17" s="213">
        <f t="shared" si="61"/>
        <v>0</v>
      </c>
      <c r="ES17" s="213">
        <f t="shared" si="62"/>
        <v>0</v>
      </c>
      <c r="ET17" s="213">
        <f t="shared" si="62"/>
        <v>0</v>
      </c>
      <c r="EU17" s="213">
        <f t="shared" si="62"/>
        <v>0</v>
      </c>
      <c r="EV17" s="213">
        <f t="shared" si="63"/>
        <v>0</v>
      </c>
      <c r="EW17" s="213">
        <f t="shared" si="64"/>
        <v>0</v>
      </c>
      <c r="EX17" s="213">
        <f t="shared" si="65"/>
        <v>0</v>
      </c>
      <c r="EY17" s="213">
        <f t="shared" si="65"/>
        <v>0</v>
      </c>
      <c r="EZ17" s="213">
        <f t="shared" si="65"/>
        <v>0</v>
      </c>
      <c r="FA17" s="213">
        <f t="shared" si="66"/>
        <v>0</v>
      </c>
      <c r="FB17" s="213">
        <f t="shared" si="67"/>
        <v>0</v>
      </c>
      <c r="FC17" s="213">
        <f t="shared" si="68"/>
        <v>0</v>
      </c>
      <c r="FD17" s="213">
        <f t="shared" si="68"/>
        <v>0</v>
      </c>
      <c r="FE17" s="213">
        <f t="shared" si="68"/>
        <v>0</v>
      </c>
      <c r="FF17" s="212"/>
      <c r="FG17" s="212"/>
      <c r="FH17" s="212"/>
      <c r="FI17" s="212"/>
      <c r="FJ17" s="212"/>
      <c r="FK17"/>
      <c r="FL17"/>
      <c r="FM17"/>
      <c r="FN17"/>
      <c r="FO17"/>
      <c r="FP17"/>
      <c r="FQ17"/>
      <c r="FR17"/>
      <c r="FS17" s="217"/>
      <c r="FT17" s="226" t="s">
        <v>1579</v>
      </c>
      <c r="FU17" s="216" t="str">
        <f>FT17</f>
        <v>Мазут</v>
      </c>
      <c r="FV17" s="230">
        <f>SUMIF(PLAN_201X!$B$2:$B$19,PLAN_201X!$B7,PLAN_201X!C$2:C$19)</f>
        <v>0</v>
      </c>
      <c r="FW17" s="230">
        <f>SUMIF(PLAN_201X!$B$2:$B$19,PLAN_201X!$B7,PLAN_201X!D$2:D$19)</f>
        <v>0</v>
      </c>
      <c r="FX17" s="230">
        <f>SUMIF(PLAN_201X!$B$2:$B$19,PLAN_201X!$B7,PLAN_201X!E$2:E$19)</f>
        <v>0</v>
      </c>
      <c r="FY17" s="215"/>
      <c r="FZ17" s="197"/>
    </row>
    <row r="18" spans="6:182" s="153" customFormat="1" ht="13.5" hidden="1" customHeight="1">
      <c r="F18" s="154"/>
      <c r="G18" s="154"/>
      <c r="H18" s="154"/>
      <c r="I18" s="154"/>
      <c r="J18" s="154"/>
      <c r="K18" s="154"/>
      <c r="L18" s="154"/>
      <c r="M18" s="154"/>
      <c r="N18" s="154"/>
      <c r="O18" s="217" t="s">
        <v>0</v>
      </c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5"/>
      <c r="AB18" s="221" t="s">
        <v>1579</v>
      </c>
      <c r="AC18" s="221" t="str">
        <f t="shared" si="16"/>
        <v>Мазут</v>
      </c>
      <c r="AD18" s="221" t="str">
        <f t="shared" si="69"/>
        <v>Мазут :: ACTI</v>
      </c>
      <c r="AE18" s="213">
        <f t="shared" si="17"/>
        <v>0</v>
      </c>
      <c r="AF18" s="213">
        <f t="shared" si="18"/>
        <v>0</v>
      </c>
      <c r="AG18" s="213">
        <f t="shared" si="19"/>
        <v>0</v>
      </c>
      <c r="AH18" s="213">
        <f t="shared" si="20"/>
        <v>0</v>
      </c>
      <c r="AI18" s="213">
        <f t="shared" si="0"/>
        <v>0</v>
      </c>
      <c r="AJ18" s="213">
        <f t="shared" si="1"/>
        <v>0</v>
      </c>
      <c r="AK18" s="213">
        <f t="shared" si="2"/>
        <v>0</v>
      </c>
      <c r="AL18" s="213"/>
      <c r="AM18" s="213">
        <f t="shared" si="3"/>
        <v>0</v>
      </c>
      <c r="AN18" s="213">
        <f t="shared" si="3"/>
        <v>0</v>
      </c>
      <c r="AO18" s="213">
        <f t="shared" si="3"/>
        <v>0</v>
      </c>
      <c r="AP18" s="213"/>
      <c r="AQ18" s="213"/>
      <c r="AR18" s="213"/>
      <c r="AS18" s="213">
        <f t="shared" si="21"/>
        <v>0</v>
      </c>
      <c r="AT18" s="213">
        <f t="shared" si="22"/>
        <v>0</v>
      </c>
      <c r="AU18" s="213">
        <f t="shared" si="23"/>
        <v>0</v>
      </c>
      <c r="AV18" s="213">
        <f t="shared" si="23"/>
        <v>0</v>
      </c>
      <c r="AW18" s="213">
        <f t="shared" si="23"/>
        <v>0</v>
      </c>
      <c r="AX18" s="213">
        <f t="shared" si="24"/>
        <v>0</v>
      </c>
      <c r="AY18" s="213">
        <f t="shared" si="25"/>
        <v>0</v>
      </c>
      <c r="AZ18" s="213">
        <f t="shared" si="26"/>
        <v>0</v>
      </c>
      <c r="BA18" s="213">
        <f t="shared" si="26"/>
        <v>0</v>
      </c>
      <c r="BB18" s="213">
        <f t="shared" si="26"/>
        <v>0</v>
      </c>
      <c r="BC18" s="213">
        <f t="shared" si="27"/>
        <v>0</v>
      </c>
      <c r="BD18" s="213">
        <f t="shared" si="28"/>
        <v>0</v>
      </c>
      <c r="BE18" s="213">
        <f t="shared" si="29"/>
        <v>0</v>
      </c>
      <c r="BF18" s="213">
        <f t="shared" si="29"/>
        <v>0</v>
      </c>
      <c r="BG18" s="213">
        <f t="shared" si="29"/>
        <v>0</v>
      </c>
      <c r="BH18" s="212"/>
      <c r="BI18" s="212"/>
      <c r="BJ18" s="212"/>
      <c r="BK18" s="212"/>
      <c r="BL18" s="212"/>
      <c r="BM18" s="213">
        <f t="shared" si="30"/>
        <v>0</v>
      </c>
      <c r="BN18" s="213">
        <f t="shared" si="31"/>
        <v>0</v>
      </c>
      <c r="BO18" s="213">
        <f t="shared" si="32"/>
        <v>0</v>
      </c>
      <c r="BP18" s="213">
        <f t="shared" si="33"/>
        <v>0</v>
      </c>
      <c r="BQ18" s="213">
        <f t="shared" si="4"/>
        <v>0</v>
      </c>
      <c r="BR18" s="213">
        <f t="shared" si="5"/>
        <v>0</v>
      </c>
      <c r="BS18" s="213">
        <f t="shared" si="6"/>
        <v>0</v>
      </c>
      <c r="BT18" s="213"/>
      <c r="BU18" s="213">
        <f t="shared" si="7"/>
        <v>0</v>
      </c>
      <c r="BV18" s="213">
        <f t="shared" si="7"/>
        <v>0</v>
      </c>
      <c r="BW18" s="213">
        <f t="shared" si="7"/>
        <v>0</v>
      </c>
      <c r="BX18" s="213"/>
      <c r="BY18" s="213"/>
      <c r="BZ18" s="213"/>
      <c r="CA18" s="213">
        <f t="shared" si="34"/>
        <v>0</v>
      </c>
      <c r="CB18" s="213">
        <f t="shared" si="35"/>
        <v>0</v>
      </c>
      <c r="CC18" s="213">
        <f t="shared" si="36"/>
        <v>0</v>
      </c>
      <c r="CD18" s="213">
        <f t="shared" si="36"/>
        <v>0</v>
      </c>
      <c r="CE18" s="213">
        <f t="shared" si="36"/>
        <v>0</v>
      </c>
      <c r="CF18" s="213">
        <f t="shared" si="37"/>
        <v>0</v>
      </c>
      <c r="CG18" s="213">
        <f t="shared" si="38"/>
        <v>0</v>
      </c>
      <c r="CH18" s="213">
        <f t="shared" si="39"/>
        <v>0</v>
      </c>
      <c r="CI18" s="213">
        <f t="shared" si="39"/>
        <v>0</v>
      </c>
      <c r="CJ18" s="213">
        <f t="shared" si="39"/>
        <v>0</v>
      </c>
      <c r="CK18" s="213">
        <f t="shared" si="40"/>
        <v>0</v>
      </c>
      <c r="CL18" s="213">
        <f t="shared" si="41"/>
        <v>0</v>
      </c>
      <c r="CM18" s="213">
        <f t="shared" si="42"/>
        <v>0</v>
      </c>
      <c r="CN18" s="213">
        <f t="shared" si="42"/>
        <v>0</v>
      </c>
      <c r="CO18" s="213">
        <f t="shared" si="42"/>
        <v>0</v>
      </c>
      <c r="CP18" s="212"/>
      <c r="CQ18" s="212"/>
      <c r="CR18" s="212"/>
      <c r="CS18" s="212"/>
      <c r="CT18" s="212"/>
      <c r="CU18" s="213">
        <f t="shared" si="43"/>
        <v>0</v>
      </c>
      <c r="CV18" s="213">
        <f t="shared" si="44"/>
        <v>0</v>
      </c>
      <c r="CW18" s="213">
        <f t="shared" si="45"/>
        <v>0</v>
      </c>
      <c r="CX18" s="213">
        <f t="shared" si="46"/>
        <v>0</v>
      </c>
      <c r="CY18" s="213">
        <f t="shared" si="8"/>
        <v>0</v>
      </c>
      <c r="CZ18" s="213">
        <f t="shared" si="9"/>
        <v>0</v>
      </c>
      <c r="DA18" s="213">
        <f t="shared" si="10"/>
        <v>0</v>
      </c>
      <c r="DB18" s="213"/>
      <c r="DC18" s="213">
        <f t="shared" si="11"/>
        <v>0</v>
      </c>
      <c r="DD18" s="213">
        <f t="shared" si="11"/>
        <v>0</v>
      </c>
      <c r="DE18" s="213">
        <f t="shared" si="11"/>
        <v>0</v>
      </c>
      <c r="DF18" s="213"/>
      <c r="DG18" s="213"/>
      <c r="DH18" s="213"/>
      <c r="DI18" s="213">
        <f t="shared" si="47"/>
        <v>0</v>
      </c>
      <c r="DJ18" s="213">
        <f t="shared" si="48"/>
        <v>0</v>
      </c>
      <c r="DK18" s="213">
        <f t="shared" si="49"/>
        <v>0</v>
      </c>
      <c r="DL18" s="213">
        <f t="shared" si="49"/>
        <v>0</v>
      </c>
      <c r="DM18" s="213">
        <f t="shared" si="49"/>
        <v>0</v>
      </c>
      <c r="DN18" s="213">
        <f t="shared" si="50"/>
        <v>0</v>
      </c>
      <c r="DO18" s="213">
        <f t="shared" si="51"/>
        <v>0</v>
      </c>
      <c r="DP18" s="213">
        <f t="shared" si="52"/>
        <v>0</v>
      </c>
      <c r="DQ18" s="213">
        <f t="shared" si="52"/>
        <v>0</v>
      </c>
      <c r="DR18" s="213">
        <f t="shared" si="52"/>
        <v>0</v>
      </c>
      <c r="DS18" s="213">
        <f t="shared" si="53"/>
        <v>0</v>
      </c>
      <c r="DT18" s="213">
        <f t="shared" si="54"/>
        <v>0</v>
      </c>
      <c r="DU18" s="213">
        <f t="shared" si="55"/>
        <v>0</v>
      </c>
      <c r="DV18" s="213">
        <f t="shared" si="55"/>
        <v>0</v>
      </c>
      <c r="DW18" s="213">
        <f t="shared" si="55"/>
        <v>0</v>
      </c>
      <c r="DX18" s="212"/>
      <c r="DY18" s="212"/>
      <c r="DZ18" s="212"/>
      <c r="EA18" s="212"/>
      <c r="EB18" s="212"/>
      <c r="EC18" s="213">
        <f t="shared" si="56"/>
        <v>0</v>
      </c>
      <c r="ED18" s="213">
        <f t="shared" si="57"/>
        <v>0</v>
      </c>
      <c r="EE18" s="213">
        <f t="shared" si="58"/>
        <v>0</v>
      </c>
      <c r="EF18" s="213">
        <f t="shared" si="59"/>
        <v>0</v>
      </c>
      <c r="EG18" s="213">
        <f t="shared" si="12"/>
        <v>0</v>
      </c>
      <c r="EH18" s="213">
        <f t="shared" si="13"/>
        <v>0</v>
      </c>
      <c r="EI18" s="213">
        <f t="shared" si="14"/>
        <v>0</v>
      </c>
      <c r="EJ18" s="213"/>
      <c r="EK18" s="213">
        <f t="shared" si="15"/>
        <v>0</v>
      </c>
      <c r="EL18" s="213">
        <f t="shared" si="15"/>
        <v>0</v>
      </c>
      <c r="EM18" s="213">
        <f t="shared" si="15"/>
        <v>0</v>
      </c>
      <c r="EN18" s="213"/>
      <c r="EO18" s="213"/>
      <c r="EP18" s="213"/>
      <c r="EQ18" s="213">
        <f t="shared" si="60"/>
        <v>0</v>
      </c>
      <c r="ER18" s="213">
        <f t="shared" si="61"/>
        <v>0</v>
      </c>
      <c r="ES18" s="213">
        <f t="shared" si="62"/>
        <v>0</v>
      </c>
      <c r="ET18" s="213">
        <f t="shared" si="62"/>
        <v>0</v>
      </c>
      <c r="EU18" s="213">
        <f t="shared" si="62"/>
        <v>0</v>
      </c>
      <c r="EV18" s="213">
        <f t="shared" si="63"/>
        <v>0</v>
      </c>
      <c r="EW18" s="213">
        <f t="shared" si="64"/>
        <v>0</v>
      </c>
      <c r="EX18" s="213">
        <f t="shared" si="65"/>
        <v>0</v>
      </c>
      <c r="EY18" s="213">
        <f t="shared" si="65"/>
        <v>0</v>
      </c>
      <c r="EZ18" s="213">
        <f t="shared" si="65"/>
        <v>0</v>
      </c>
      <c r="FA18" s="213">
        <f t="shared" si="66"/>
        <v>0</v>
      </c>
      <c r="FB18" s="213">
        <f t="shared" si="67"/>
        <v>0</v>
      </c>
      <c r="FC18" s="213">
        <f t="shared" si="68"/>
        <v>0</v>
      </c>
      <c r="FD18" s="213">
        <f t="shared" si="68"/>
        <v>0</v>
      </c>
      <c r="FE18" s="213">
        <f t="shared" si="68"/>
        <v>0</v>
      </c>
      <c r="FF18" s="212"/>
      <c r="FG18" s="212"/>
      <c r="FH18" s="212"/>
      <c r="FI18" s="212"/>
      <c r="FJ18" s="212"/>
      <c r="FK18"/>
      <c r="FL18"/>
      <c r="FM18"/>
      <c r="FN18"/>
      <c r="FO18"/>
      <c r="FP18"/>
      <c r="FQ18"/>
      <c r="FR18"/>
      <c r="FS18" s="217"/>
      <c r="FT18" s="225" t="s">
        <v>1620</v>
      </c>
      <c r="FU18" s="216" t="str">
        <f>FT18</f>
        <v>Нефть</v>
      </c>
      <c r="FV18" s="230">
        <f>SUMIF(PLAN_201X!$B$2:$B$19,PLAN_201X!$B8,PLAN_201X!C$2:C$19)</f>
        <v>8236.7900000000009</v>
      </c>
      <c r="FW18" s="230">
        <f>SUMIF(PLAN_201X!$B$2:$B$19,PLAN_201X!$B8,PLAN_201X!D$2:D$19)</f>
        <v>3769.93</v>
      </c>
      <c r="FX18" s="230">
        <f>SUMIF(PLAN_201X!$B$2:$B$19,PLAN_201X!$B8,PLAN_201X!E$2:E$19)</f>
        <v>31052.11</v>
      </c>
      <c r="FY18" s="215"/>
      <c r="FZ18" s="197"/>
    </row>
    <row r="19" spans="6:182" s="153" customFormat="1" ht="13.5" hidden="1" customHeight="1">
      <c r="F19" s="154"/>
      <c r="G19" s="154"/>
      <c r="H19" s="154"/>
      <c r="I19" s="154"/>
      <c r="J19" s="154"/>
      <c r="K19" s="154"/>
      <c r="L19" s="154"/>
      <c r="M19" s="154"/>
      <c r="N19" s="154"/>
      <c r="O19" s="233" t="s">
        <v>640</v>
      </c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5"/>
      <c r="AB19" s="221" t="s">
        <v>1620</v>
      </c>
      <c r="AC19" s="221" t="str">
        <f t="shared" si="16"/>
        <v>Нефть</v>
      </c>
      <c r="AD19" s="221" t="str">
        <f t="shared" si="69"/>
        <v>Нефть :: ACTI</v>
      </c>
      <c r="AE19" s="213">
        <f t="shared" si="17"/>
        <v>0</v>
      </c>
      <c r="AF19" s="213">
        <f t="shared" si="18"/>
        <v>0</v>
      </c>
      <c r="AG19" s="213">
        <f t="shared" si="19"/>
        <v>0</v>
      </c>
      <c r="AH19" s="213">
        <f t="shared" si="20"/>
        <v>0</v>
      </c>
      <c r="AI19" s="213">
        <f t="shared" si="0"/>
        <v>0</v>
      </c>
      <c r="AJ19" s="213">
        <f t="shared" si="1"/>
        <v>0</v>
      </c>
      <c r="AK19" s="213">
        <f t="shared" si="2"/>
        <v>0</v>
      </c>
      <c r="AL19" s="213"/>
      <c r="AM19" s="213">
        <f t="shared" si="3"/>
        <v>0</v>
      </c>
      <c r="AN19" s="213">
        <f t="shared" si="3"/>
        <v>0</v>
      </c>
      <c r="AO19" s="213">
        <f t="shared" si="3"/>
        <v>0</v>
      </c>
      <c r="AP19" s="213"/>
      <c r="AQ19" s="213"/>
      <c r="AR19" s="213"/>
      <c r="AS19" s="213">
        <f t="shared" si="21"/>
        <v>0</v>
      </c>
      <c r="AT19" s="213">
        <f t="shared" si="22"/>
        <v>0</v>
      </c>
      <c r="AU19" s="213">
        <f t="shared" si="23"/>
        <v>0</v>
      </c>
      <c r="AV19" s="213">
        <f t="shared" si="23"/>
        <v>0</v>
      </c>
      <c r="AW19" s="213">
        <f t="shared" si="23"/>
        <v>0</v>
      </c>
      <c r="AX19" s="213">
        <f t="shared" si="24"/>
        <v>0</v>
      </c>
      <c r="AY19" s="213">
        <f t="shared" si="25"/>
        <v>0</v>
      </c>
      <c r="AZ19" s="213">
        <f t="shared" si="26"/>
        <v>0</v>
      </c>
      <c r="BA19" s="213">
        <f t="shared" si="26"/>
        <v>0</v>
      </c>
      <c r="BB19" s="213">
        <f t="shared" si="26"/>
        <v>0</v>
      </c>
      <c r="BC19" s="213">
        <f t="shared" si="27"/>
        <v>0</v>
      </c>
      <c r="BD19" s="213">
        <f t="shared" si="28"/>
        <v>0</v>
      </c>
      <c r="BE19" s="213">
        <f t="shared" si="29"/>
        <v>0</v>
      </c>
      <c r="BF19" s="213">
        <f t="shared" si="29"/>
        <v>0</v>
      </c>
      <c r="BG19" s="213">
        <f t="shared" si="29"/>
        <v>0</v>
      </c>
      <c r="BH19" s="212"/>
      <c r="BI19" s="212"/>
      <c r="BJ19" s="212"/>
      <c r="BK19" s="212"/>
      <c r="BL19" s="212"/>
      <c r="BM19" s="213">
        <f t="shared" si="30"/>
        <v>0</v>
      </c>
      <c r="BN19" s="213">
        <f t="shared" si="31"/>
        <v>0</v>
      </c>
      <c r="BO19" s="213">
        <f t="shared" si="32"/>
        <v>0</v>
      </c>
      <c r="BP19" s="213">
        <f t="shared" si="33"/>
        <v>0</v>
      </c>
      <c r="BQ19" s="213">
        <f t="shared" si="4"/>
        <v>0</v>
      </c>
      <c r="BR19" s="213">
        <f t="shared" si="5"/>
        <v>0</v>
      </c>
      <c r="BS19" s="213">
        <f t="shared" si="6"/>
        <v>0</v>
      </c>
      <c r="BT19" s="213"/>
      <c r="BU19" s="213">
        <f t="shared" si="7"/>
        <v>0</v>
      </c>
      <c r="BV19" s="213">
        <f t="shared" si="7"/>
        <v>0</v>
      </c>
      <c r="BW19" s="213">
        <f t="shared" si="7"/>
        <v>0</v>
      </c>
      <c r="BX19" s="213"/>
      <c r="BY19" s="213"/>
      <c r="BZ19" s="213"/>
      <c r="CA19" s="213">
        <f t="shared" si="34"/>
        <v>0</v>
      </c>
      <c r="CB19" s="213">
        <f t="shared" si="35"/>
        <v>0</v>
      </c>
      <c r="CC19" s="213">
        <f t="shared" si="36"/>
        <v>0</v>
      </c>
      <c r="CD19" s="213">
        <f t="shared" si="36"/>
        <v>0</v>
      </c>
      <c r="CE19" s="213">
        <f t="shared" si="36"/>
        <v>0</v>
      </c>
      <c r="CF19" s="213">
        <f t="shared" si="37"/>
        <v>0</v>
      </c>
      <c r="CG19" s="213">
        <f t="shared" si="38"/>
        <v>0</v>
      </c>
      <c r="CH19" s="213">
        <f t="shared" si="39"/>
        <v>0</v>
      </c>
      <c r="CI19" s="213">
        <f t="shared" si="39"/>
        <v>0</v>
      </c>
      <c r="CJ19" s="213">
        <f t="shared" si="39"/>
        <v>0</v>
      </c>
      <c r="CK19" s="213">
        <f t="shared" si="40"/>
        <v>0</v>
      </c>
      <c r="CL19" s="213">
        <f t="shared" si="41"/>
        <v>0</v>
      </c>
      <c r="CM19" s="213">
        <f t="shared" si="42"/>
        <v>0</v>
      </c>
      <c r="CN19" s="213">
        <f t="shared" si="42"/>
        <v>0</v>
      </c>
      <c r="CO19" s="213">
        <f t="shared" si="42"/>
        <v>0</v>
      </c>
      <c r="CP19" s="212"/>
      <c r="CQ19" s="212"/>
      <c r="CR19" s="212"/>
      <c r="CS19" s="212"/>
      <c r="CT19" s="212"/>
      <c r="CU19" s="213">
        <f t="shared" si="43"/>
        <v>0</v>
      </c>
      <c r="CV19" s="213">
        <f t="shared" si="44"/>
        <v>0</v>
      </c>
      <c r="CW19" s="213">
        <f t="shared" si="45"/>
        <v>0</v>
      </c>
      <c r="CX19" s="213">
        <f t="shared" si="46"/>
        <v>0</v>
      </c>
      <c r="CY19" s="213">
        <f t="shared" si="8"/>
        <v>0</v>
      </c>
      <c r="CZ19" s="213">
        <f t="shared" si="9"/>
        <v>0</v>
      </c>
      <c r="DA19" s="213">
        <f t="shared" si="10"/>
        <v>0</v>
      </c>
      <c r="DB19" s="213"/>
      <c r="DC19" s="213">
        <f t="shared" si="11"/>
        <v>0</v>
      </c>
      <c r="DD19" s="213">
        <f t="shared" si="11"/>
        <v>0</v>
      </c>
      <c r="DE19" s="213">
        <f t="shared" si="11"/>
        <v>0</v>
      </c>
      <c r="DF19" s="213"/>
      <c r="DG19" s="213"/>
      <c r="DH19" s="213"/>
      <c r="DI19" s="213">
        <f t="shared" si="47"/>
        <v>0</v>
      </c>
      <c r="DJ19" s="213">
        <f t="shared" si="48"/>
        <v>0</v>
      </c>
      <c r="DK19" s="213">
        <f t="shared" si="49"/>
        <v>0</v>
      </c>
      <c r="DL19" s="213">
        <f t="shared" si="49"/>
        <v>0</v>
      </c>
      <c r="DM19" s="213">
        <f t="shared" si="49"/>
        <v>0</v>
      </c>
      <c r="DN19" s="213">
        <f t="shared" si="50"/>
        <v>0</v>
      </c>
      <c r="DO19" s="213">
        <f t="shared" si="51"/>
        <v>0</v>
      </c>
      <c r="DP19" s="213">
        <f t="shared" si="52"/>
        <v>0</v>
      </c>
      <c r="DQ19" s="213">
        <f t="shared" si="52"/>
        <v>0</v>
      </c>
      <c r="DR19" s="213">
        <f t="shared" si="52"/>
        <v>0</v>
      </c>
      <c r="DS19" s="213">
        <f t="shared" si="53"/>
        <v>0</v>
      </c>
      <c r="DT19" s="213">
        <f t="shared" si="54"/>
        <v>0</v>
      </c>
      <c r="DU19" s="213">
        <f t="shared" si="55"/>
        <v>0</v>
      </c>
      <c r="DV19" s="213">
        <f t="shared" si="55"/>
        <v>0</v>
      </c>
      <c r="DW19" s="213">
        <f t="shared" si="55"/>
        <v>0</v>
      </c>
      <c r="DX19" s="212"/>
      <c r="DY19" s="212"/>
      <c r="DZ19" s="212"/>
      <c r="EA19" s="212"/>
      <c r="EB19" s="212"/>
      <c r="EC19" s="213">
        <f t="shared" si="56"/>
        <v>0</v>
      </c>
      <c r="ED19" s="213">
        <f t="shared" si="57"/>
        <v>0</v>
      </c>
      <c r="EE19" s="213">
        <f t="shared" si="58"/>
        <v>0</v>
      </c>
      <c r="EF19" s="213">
        <f t="shared" si="59"/>
        <v>0</v>
      </c>
      <c r="EG19" s="213">
        <f t="shared" si="12"/>
        <v>0</v>
      </c>
      <c r="EH19" s="213">
        <f t="shared" si="13"/>
        <v>0</v>
      </c>
      <c r="EI19" s="213">
        <f t="shared" si="14"/>
        <v>0</v>
      </c>
      <c r="EJ19" s="213"/>
      <c r="EK19" s="213">
        <f t="shared" si="15"/>
        <v>0</v>
      </c>
      <c r="EL19" s="213">
        <f t="shared" si="15"/>
        <v>0</v>
      </c>
      <c r="EM19" s="213">
        <f t="shared" si="15"/>
        <v>0</v>
      </c>
      <c r="EN19" s="213"/>
      <c r="EO19" s="213"/>
      <c r="EP19" s="213"/>
      <c r="EQ19" s="213">
        <f t="shared" si="60"/>
        <v>0</v>
      </c>
      <c r="ER19" s="213">
        <f t="shared" si="61"/>
        <v>0</v>
      </c>
      <c r="ES19" s="213">
        <f t="shared" si="62"/>
        <v>0</v>
      </c>
      <c r="ET19" s="213">
        <f t="shared" si="62"/>
        <v>0</v>
      </c>
      <c r="EU19" s="213">
        <f t="shared" si="62"/>
        <v>0</v>
      </c>
      <c r="EV19" s="213">
        <f t="shared" si="63"/>
        <v>0</v>
      </c>
      <c r="EW19" s="213">
        <f t="shared" si="64"/>
        <v>0</v>
      </c>
      <c r="EX19" s="213">
        <f t="shared" si="65"/>
        <v>0</v>
      </c>
      <c r="EY19" s="213">
        <f t="shared" si="65"/>
        <v>0</v>
      </c>
      <c r="EZ19" s="213">
        <f t="shared" si="65"/>
        <v>0</v>
      </c>
      <c r="FA19" s="213">
        <f t="shared" si="66"/>
        <v>0</v>
      </c>
      <c r="FB19" s="213">
        <f t="shared" si="67"/>
        <v>0</v>
      </c>
      <c r="FC19" s="213">
        <f t="shared" si="68"/>
        <v>0</v>
      </c>
      <c r="FD19" s="213">
        <f t="shared" si="68"/>
        <v>0</v>
      </c>
      <c r="FE19" s="213">
        <f t="shared" si="68"/>
        <v>0</v>
      </c>
      <c r="FF19" s="212"/>
      <c r="FG19" s="212"/>
      <c r="FH19" s="212"/>
      <c r="FI19" s="212"/>
      <c r="FJ19" s="212"/>
      <c r="FK19"/>
      <c r="FL19"/>
      <c r="FM19"/>
      <c r="FN19"/>
      <c r="FO19"/>
      <c r="FP19"/>
      <c r="FQ19"/>
      <c r="FR19"/>
      <c r="FS19" s="217"/>
      <c r="FT19" s="226" t="s">
        <v>1578</v>
      </c>
      <c r="FU19" s="216" t="str">
        <f>FT19</f>
        <v>Уголь</v>
      </c>
      <c r="FV19" s="230">
        <f>SUMIF(PLAN_201X!$B$2:$B$19,PLAN_201X!$B9,PLAN_201X!C$2:C$19)</f>
        <v>0</v>
      </c>
      <c r="FW19" s="230">
        <f>SUMIF(PLAN_201X!$B$2:$B$19,PLAN_201X!$B9,PLAN_201X!D$2:D$19)</f>
        <v>0</v>
      </c>
      <c r="FX19" s="230">
        <f>SUMIF(PLAN_201X!$B$2:$B$19,PLAN_201X!$B9,PLAN_201X!E$2:E$19)</f>
        <v>0</v>
      </c>
      <c r="FY19" s="215"/>
      <c r="FZ19" s="197"/>
    </row>
    <row r="20" spans="6:182" s="153" customFormat="1" ht="13.5" hidden="1" customHeight="1"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5"/>
      <c r="AB20" s="221" t="s">
        <v>1578</v>
      </c>
      <c r="AC20" s="221" t="str">
        <f t="shared" si="16"/>
        <v>Уголь</v>
      </c>
      <c r="AD20" s="221" t="str">
        <f t="shared" si="69"/>
        <v>Уголь :: ACTI</v>
      </c>
      <c r="AE20" s="213">
        <f t="shared" si="17"/>
        <v>0</v>
      </c>
      <c r="AF20" s="213">
        <f t="shared" si="18"/>
        <v>0</v>
      </c>
      <c r="AG20" s="213">
        <f t="shared" si="19"/>
        <v>0</v>
      </c>
      <c r="AH20" s="213">
        <f t="shared" si="20"/>
        <v>0</v>
      </c>
      <c r="AI20" s="213">
        <f t="shared" si="0"/>
        <v>0</v>
      </c>
      <c r="AJ20" s="213">
        <f t="shared" si="1"/>
        <v>0</v>
      </c>
      <c r="AK20" s="213">
        <f t="shared" si="2"/>
        <v>0</v>
      </c>
      <c r="AL20" s="213"/>
      <c r="AM20" s="213">
        <f t="shared" si="3"/>
        <v>0</v>
      </c>
      <c r="AN20" s="213">
        <f t="shared" si="3"/>
        <v>0</v>
      </c>
      <c r="AO20" s="213">
        <f t="shared" si="3"/>
        <v>0</v>
      </c>
      <c r="AP20" s="213"/>
      <c r="AQ20" s="213"/>
      <c r="AR20" s="213"/>
      <c r="AS20" s="213">
        <f t="shared" si="21"/>
        <v>0</v>
      </c>
      <c r="AT20" s="213">
        <f t="shared" si="22"/>
        <v>0</v>
      </c>
      <c r="AU20" s="213">
        <f t="shared" si="23"/>
        <v>0</v>
      </c>
      <c r="AV20" s="213">
        <f t="shared" si="23"/>
        <v>0</v>
      </c>
      <c r="AW20" s="213">
        <f t="shared" si="23"/>
        <v>0</v>
      </c>
      <c r="AX20" s="213">
        <f t="shared" si="24"/>
        <v>0</v>
      </c>
      <c r="AY20" s="213">
        <f t="shared" si="25"/>
        <v>0</v>
      </c>
      <c r="AZ20" s="213">
        <f t="shared" si="26"/>
        <v>0</v>
      </c>
      <c r="BA20" s="213">
        <f t="shared" si="26"/>
        <v>0</v>
      </c>
      <c r="BB20" s="213">
        <f t="shared" si="26"/>
        <v>0</v>
      </c>
      <c r="BC20" s="213">
        <f t="shared" si="27"/>
        <v>0</v>
      </c>
      <c r="BD20" s="213">
        <f t="shared" si="28"/>
        <v>0</v>
      </c>
      <c r="BE20" s="213">
        <f t="shared" si="29"/>
        <v>0</v>
      </c>
      <c r="BF20" s="213">
        <f t="shared" si="29"/>
        <v>0</v>
      </c>
      <c r="BG20" s="213">
        <f t="shared" si="29"/>
        <v>0</v>
      </c>
      <c r="BH20" s="212"/>
      <c r="BI20" s="212"/>
      <c r="BJ20" s="212"/>
      <c r="BK20" s="212"/>
      <c r="BL20" s="212"/>
      <c r="BM20" s="213">
        <f t="shared" si="30"/>
        <v>0</v>
      </c>
      <c r="BN20" s="213">
        <f t="shared" si="31"/>
        <v>0</v>
      </c>
      <c r="BO20" s="213">
        <f t="shared" si="32"/>
        <v>0</v>
      </c>
      <c r="BP20" s="213">
        <f t="shared" si="33"/>
        <v>0</v>
      </c>
      <c r="BQ20" s="213">
        <f t="shared" si="4"/>
        <v>0</v>
      </c>
      <c r="BR20" s="213">
        <f t="shared" si="5"/>
        <v>0</v>
      </c>
      <c r="BS20" s="213">
        <f t="shared" si="6"/>
        <v>0</v>
      </c>
      <c r="BT20" s="213"/>
      <c r="BU20" s="213">
        <f t="shared" si="7"/>
        <v>0</v>
      </c>
      <c r="BV20" s="213">
        <f t="shared" si="7"/>
        <v>0</v>
      </c>
      <c r="BW20" s="213">
        <f t="shared" si="7"/>
        <v>0</v>
      </c>
      <c r="BX20" s="213"/>
      <c r="BY20" s="213"/>
      <c r="BZ20" s="213"/>
      <c r="CA20" s="213">
        <f t="shared" si="34"/>
        <v>0</v>
      </c>
      <c r="CB20" s="213">
        <f t="shared" si="35"/>
        <v>0</v>
      </c>
      <c r="CC20" s="213">
        <f t="shared" si="36"/>
        <v>0</v>
      </c>
      <c r="CD20" s="213">
        <f t="shared" si="36"/>
        <v>0</v>
      </c>
      <c r="CE20" s="213">
        <f t="shared" si="36"/>
        <v>0</v>
      </c>
      <c r="CF20" s="213">
        <f t="shared" si="37"/>
        <v>0</v>
      </c>
      <c r="CG20" s="213">
        <f t="shared" si="38"/>
        <v>0</v>
      </c>
      <c r="CH20" s="213">
        <f t="shared" si="39"/>
        <v>0</v>
      </c>
      <c r="CI20" s="213">
        <f t="shared" si="39"/>
        <v>0</v>
      </c>
      <c r="CJ20" s="213">
        <f t="shared" si="39"/>
        <v>0</v>
      </c>
      <c r="CK20" s="213">
        <f t="shared" si="40"/>
        <v>0</v>
      </c>
      <c r="CL20" s="213">
        <f t="shared" si="41"/>
        <v>0</v>
      </c>
      <c r="CM20" s="213">
        <f t="shared" si="42"/>
        <v>0</v>
      </c>
      <c r="CN20" s="213">
        <f t="shared" si="42"/>
        <v>0</v>
      </c>
      <c r="CO20" s="213">
        <f t="shared" si="42"/>
        <v>0</v>
      </c>
      <c r="CP20" s="212"/>
      <c r="CQ20" s="212"/>
      <c r="CR20" s="212"/>
      <c r="CS20" s="212"/>
      <c r="CT20" s="212"/>
      <c r="CU20" s="213">
        <f t="shared" si="43"/>
        <v>0</v>
      </c>
      <c r="CV20" s="213">
        <f t="shared" si="44"/>
        <v>0</v>
      </c>
      <c r="CW20" s="213">
        <f t="shared" si="45"/>
        <v>0</v>
      </c>
      <c r="CX20" s="213">
        <f t="shared" si="46"/>
        <v>0</v>
      </c>
      <c r="CY20" s="213">
        <f t="shared" si="8"/>
        <v>0</v>
      </c>
      <c r="CZ20" s="213">
        <f t="shared" si="9"/>
        <v>0</v>
      </c>
      <c r="DA20" s="213">
        <f t="shared" si="10"/>
        <v>0</v>
      </c>
      <c r="DB20" s="213"/>
      <c r="DC20" s="213">
        <f t="shared" si="11"/>
        <v>0</v>
      </c>
      <c r="DD20" s="213">
        <f t="shared" si="11"/>
        <v>0</v>
      </c>
      <c r="DE20" s="213">
        <f t="shared" si="11"/>
        <v>0</v>
      </c>
      <c r="DF20" s="213"/>
      <c r="DG20" s="213"/>
      <c r="DH20" s="213"/>
      <c r="DI20" s="213">
        <f t="shared" si="47"/>
        <v>0</v>
      </c>
      <c r="DJ20" s="213">
        <f t="shared" si="48"/>
        <v>0</v>
      </c>
      <c r="DK20" s="213">
        <f t="shared" si="49"/>
        <v>0</v>
      </c>
      <c r="DL20" s="213">
        <f t="shared" si="49"/>
        <v>0</v>
      </c>
      <c r="DM20" s="213">
        <f t="shared" si="49"/>
        <v>0</v>
      </c>
      <c r="DN20" s="213">
        <f t="shared" si="50"/>
        <v>0</v>
      </c>
      <c r="DO20" s="213">
        <f t="shared" si="51"/>
        <v>0</v>
      </c>
      <c r="DP20" s="213">
        <f t="shared" si="52"/>
        <v>0</v>
      </c>
      <c r="DQ20" s="213">
        <f t="shared" si="52"/>
        <v>0</v>
      </c>
      <c r="DR20" s="213">
        <f t="shared" si="52"/>
        <v>0</v>
      </c>
      <c r="DS20" s="213">
        <f t="shared" si="53"/>
        <v>0</v>
      </c>
      <c r="DT20" s="213">
        <f t="shared" si="54"/>
        <v>0</v>
      </c>
      <c r="DU20" s="213">
        <f t="shared" si="55"/>
        <v>0</v>
      </c>
      <c r="DV20" s="213">
        <f t="shared" si="55"/>
        <v>0</v>
      </c>
      <c r="DW20" s="213">
        <f t="shared" si="55"/>
        <v>0</v>
      </c>
      <c r="DX20" s="212"/>
      <c r="DY20" s="212"/>
      <c r="DZ20" s="212"/>
      <c r="EA20" s="212"/>
      <c r="EB20" s="212"/>
      <c r="EC20" s="213">
        <f t="shared" si="56"/>
        <v>0</v>
      </c>
      <c r="ED20" s="213">
        <f t="shared" si="57"/>
        <v>0</v>
      </c>
      <c r="EE20" s="213">
        <f t="shared" si="58"/>
        <v>0</v>
      </c>
      <c r="EF20" s="213">
        <f t="shared" si="59"/>
        <v>0</v>
      </c>
      <c r="EG20" s="213">
        <f t="shared" si="12"/>
        <v>0</v>
      </c>
      <c r="EH20" s="213">
        <f t="shared" si="13"/>
        <v>0</v>
      </c>
      <c r="EI20" s="213">
        <f t="shared" si="14"/>
        <v>0</v>
      </c>
      <c r="EJ20" s="213"/>
      <c r="EK20" s="213">
        <f t="shared" si="15"/>
        <v>0</v>
      </c>
      <c r="EL20" s="213">
        <f t="shared" si="15"/>
        <v>0</v>
      </c>
      <c r="EM20" s="213">
        <f t="shared" si="15"/>
        <v>0</v>
      </c>
      <c r="EN20" s="213"/>
      <c r="EO20" s="213"/>
      <c r="EP20" s="213"/>
      <c r="EQ20" s="213">
        <f t="shared" si="60"/>
        <v>0</v>
      </c>
      <c r="ER20" s="213">
        <f t="shared" si="61"/>
        <v>0</v>
      </c>
      <c r="ES20" s="213">
        <f t="shared" si="62"/>
        <v>0</v>
      </c>
      <c r="ET20" s="213">
        <f t="shared" si="62"/>
        <v>0</v>
      </c>
      <c r="EU20" s="213">
        <f t="shared" si="62"/>
        <v>0</v>
      </c>
      <c r="EV20" s="213">
        <f t="shared" si="63"/>
        <v>0</v>
      </c>
      <c r="EW20" s="213">
        <f t="shared" si="64"/>
        <v>0</v>
      </c>
      <c r="EX20" s="213">
        <f t="shared" si="65"/>
        <v>0</v>
      </c>
      <c r="EY20" s="213">
        <f t="shared" si="65"/>
        <v>0</v>
      </c>
      <c r="EZ20" s="213">
        <f t="shared" si="65"/>
        <v>0</v>
      </c>
      <c r="FA20" s="213">
        <f t="shared" si="66"/>
        <v>0</v>
      </c>
      <c r="FB20" s="213">
        <f t="shared" si="67"/>
        <v>0</v>
      </c>
      <c r="FC20" s="213">
        <f t="shared" si="68"/>
        <v>0</v>
      </c>
      <c r="FD20" s="213">
        <f t="shared" si="68"/>
        <v>0</v>
      </c>
      <c r="FE20" s="213">
        <f t="shared" si="68"/>
        <v>0</v>
      </c>
      <c r="FF20" s="212"/>
      <c r="FG20" s="212"/>
      <c r="FH20" s="212"/>
      <c r="FI20" s="212"/>
      <c r="FJ20" s="212"/>
      <c r="FK20"/>
      <c r="FL20"/>
      <c r="FM20"/>
      <c r="FN20"/>
      <c r="FO20"/>
      <c r="FP20"/>
      <c r="FQ20"/>
      <c r="FR20"/>
      <c r="FS20" s="217"/>
      <c r="FT20" s="491" t="s">
        <v>1621</v>
      </c>
      <c r="FU20" s="225" t="s">
        <v>1663</v>
      </c>
      <c r="FV20" s="230">
        <f>SUMIF(PLAN_201X!$B$2:$B$19,PLAN_201X!$B10,PLAN_201X!C$2:C$19)</f>
        <v>0</v>
      </c>
      <c r="FW20" s="230">
        <f>SUMIF(PLAN_201X!$B$2:$B$19,PLAN_201X!$B10,PLAN_201X!D$2:D$19)</f>
        <v>0</v>
      </c>
      <c r="FX20" s="230">
        <f>SUMIF(PLAN_201X!$B$2:$B$19,PLAN_201X!$B10,PLAN_201X!E$2:E$19)</f>
        <v>0</v>
      </c>
      <c r="FY20" s="215"/>
      <c r="FZ20" s="197"/>
    </row>
    <row r="21" spans="6:182" s="153" customFormat="1" ht="13.5" hidden="1" customHeight="1"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5"/>
      <c r="AB21" s="452" t="s">
        <v>1621</v>
      </c>
      <c r="AC21" s="221" t="s">
        <v>1663</v>
      </c>
      <c r="AD21" s="221" t="str">
        <f t="shared" si="69"/>
        <v>Энергия :: ACTI</v>
      </c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3">
        <f t="shared" ref="BH21:BJ22" si="70">SUMIF($AD$45:$AD$66,$AD21,BH$45:BH$66)</f>
        <v>0</v>
      </c>
      <c r="BI21" s="213">
        <f t="shared" si="70"/>
        <v>0</v>
      </c>
      <c r="BJ21" s="213">
        <f t="shared" si="70"/>
        <v>0</v>
      </c>
      <c r="BK21" s="213">
        <f>IF(BJ21&gt;0,(BH21/BJ21),0)</f>
        <v>0</v>
      </c>
      <c r="BL21" s="213">
        <f>IF(BJ21&gt;0,(BI21/BJ21),0)</f>
        <v>0</v>
      </c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  <c r="CB21" s="212"/>
      <c r="CC21" s="212"/>
      <c r="CD21" s="212"/>
      <c r="CE21" s="212"/>
      <c r="CF21" s="212"/>
      <c r="CG21" s="212"/>
      <c r="CH21" s="212"/>
      <c r="CI21" s="212"/>
      <c r="CJ21" s="212"/>
      <c r="CK21" s="212"/>
      <c r="CL21" s="212"/>
      <c r="CM21" s="212"/>
      <c r="CN21" s="212"/>
      <c r="CO21" s="212"/>
      <c r="CP21" s="213">
        <f t="shared" ref="CP21:CR22" si="71">SUMIF($AD$45:$AD$66,$AD21,CP$45:CP$66)</f>
        <v>0</v>
      </c>
      <c r="CQ21" s="213">
        <f t="shared" si="71"/>
        <v>0</v>
      </c>
      <c r="CR21" s="213">
        <f t="shared" si="71"/>
        <v>0</v>
      </c>
      <c r="CS21" s="213">
        <f>IF(CR21&gt;0,(CP21/CR21),0)</f>
        <v>0</v>
      </c>
      <c r="CT21" s="213">
        <f>IF(CR21&gt;0,(CQ21/CR21),0)</f>
        <v>0</v>
      </c>
      <c r="CU21" s="212"/>
      <c r="CV21" s="212"/>
      <c r="CW21" s="212"/>
      <c r="CX21" s="212"/>
      <c r="CY21" s="212"/>
      <c r="CZ21" s="212"/>
      <c r="DA21" s="212"/>
      <c r="DB21" s="212"/>
      <c r="DC21" s="212"/>
      <c r="DD21" s="212"/>
      <c r="DE21" s="212"/>
      <c r="DF21" s="212"/>
      <c r="DG21" s="212"/>
      <c r="DH21" s="212"/>
      <c r="DI21" s="212"/>
      <c r="DJ21" s="212"/>
      <c r="DK21" s="212"/>
      <c r="DL21" s="212"/>
      <c r="DM21" s="212"/>
      <c r="DN21" s="212"/>
      <c r="DO21" s="212"/>
      <c r="DP21" s="212"/>
      <c r="DQ21" s="212"/>
      <c r="DR21" s="212"/>
      <c r="DS21" s="212"/>
      <c r="DT21" s="212"/>
      <c r="DU21" s="212"/>
      <c r="DV21" s="212"/>
      <c r="DW21" s="212"/>
      <c r="DX21" s="213">
        <f t="shared" ref="DX21:DZ22" si="72">SUMIF($AD$45:$AD$66,$AD21,DX$45:DX$66)</f>
        <v>0</v>
      </c>
      <c r="DY21" s="213">
        <f t="shared" si="72"/>
        <v>0</v>
      </c>
      <c r="DZ21" s="213">
        <f t="shared" si="72"/>
        <v>0</v>
      </c>
      <c r="EA21" s="213">
        <f>IF(DZ21&gt;0,(DX21/DZ21),0)</f>
        <v>0</v>
      </c>
      <c r="EB21" s="213">
        <f>IF(DZ21&gt;0,(DY21/DZ21),0)</f>
        <v>0</v>
      </c>
      <c r="EC21" s="212"/>
      <c r="ED21" s="212"/>
      <c r="EE21" s="212"/>
      <c r="EF21" s="212"/>
      <c r="EG21" s="212"/>
      <c r="EH21" s="212"/>
      <c r="EI21" s="212"/>
      <c r="EJ21" s="212"/>
      <c r="EK21" s="212"/>
      <c r="EL21" s="212"/>
      <c r="EM21" s="212"/>
      <c r="EN21" s="212"/>
      <c r="EO21" s="212"/>
      <c r="EP21" s="212"/>
      <c r="EQ21" s="212"/>
      <c r="ER21" s="212"/>
      <c r="ES21" s="212"/>
      <c r="ET21" s="212"/>
      <c r="EU21" s="212"/>
      <c r="EV21" s="212"/>
      <c r="EW21" s="212"/>
      <c r="EX21" s="212"/>
      <c r="EY21" s="212"/>
      <c r="EZ21" s="212"/>
      <c r="FA21" s="212"/>
      <c r="FB21" s="212"/>
      <c r="FC21" s="212"/>
      <c r="FD21" s="212"/>
      <c r="FE21" s="212"/>
      <c r="FF21" s="213">
        <f t="shared" ref="FF21:FH22" si="73">SUMIF($AD$45:$AD$66,$AD21,FF$45:FF$66)</f>
        <v>0</v>
      </c>
      <c r="FG21" s="213">
        <f t="shared" si="73"/>
        <v>0</v>
      </c>
      <c r="FH21" s="213">
        <f t="shared" si="73"/>
        <v>0</v>
      </c>
      <c r="FI21" s="213">
        <f>IF(FH21&gt;0,(FF21/FH21),0)</f>
        <v>0</v>
      </c>
      <c r="FJ21" s="213">
        <f>IF(FH21&gt;0,(FG21/FH21),0)</f>
        <v>0</v>
      </c>
      <c r="FK21"/>
      <c r="FL21"/>
      <c r="FM21"/>
      <c r="FN21"/>
      <c r="FO21"/>
      <c r="FP21"/>
      <c r="FQ21"/>
      <c r="FR21"/>
      <c r="FS21" s="217"/>
      <c r="FT21" s="491"/>
      <c r="FU21" s="225" t="s">
        <v>1664</v>
      </c>
      <c r="FV21" s="230">
        <f>SUMIF(PLAN_201X!$B$2:$B$19,PLAN_201X!$B11,PLAN_201X!C$2:C$19)</f>
        <v>0</v>
      </c>
      <c r="FW21" s="230">
        <f>SUMIF(PLAN_201X!$B$2:$B$19,PLAN_201X!$B11,PLAN_201X!D$2:D$19)</f>
        <v>0</v>
      </c>
      <c r="FX21" s="230">
        <f>SUMIF(PLAN_201X!$B$2:$B$19,PLAN_201X!$B11,PLAN_201X!E$2:E$19)</f>
        <v>0</v>
      </c>
      <c r="FY21" s="215"/>
      <c r="FZ21" s="197"/>
    </row>
    <row r="22" spans="6:182" s="153" customFormat="1" ht="13.5" hidden="1" customHeight="1"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5"/>
      <c r="AB22" s="452"/>
      <c r="AC22" s="221" t="s">
        <v>1664</v>
      </c>
      <c r="AD22" s="221" t="str">
        <f t="shared" si="69"/>
        <v>Заявленная мощность :: ACTI</v>
      </c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3">
        <f t="shared" si="70"/>
        <v>0</v>
      </c>
      <c r="BI22" s="213">
        <f t="shared" si="70"/>
        <v>0</v>
      </c>
      <c r="BJ22" s="213">
        <f t="shared" si="70"/>
        <v>0</v>
      </c>
      <c r="BK22" s="213">
        <f>IF(BJ22&gt;0,(BH22/BJ22),0)</f>
        <v>0</v>
      </c>
      <c r="BL22" s="213">
        <f>IF(BJ22&gt;0,(BI22/BJ22),0)</f>
        <v>0</v>
      </c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2"/>
      <c r="BX22" s="212"/>
      <c r="BY22" s="212"/>
      <c r="BZ22" s="212"/>
      <c r="CA22" s="212"/>
      <c r="CB22" s="212"/>
      <c r="CC22" s="212"/>
      <c r="CD22" s="212"/>
      <c r="CE22" s="212"/>
      <c r="CF22" s="212"/>
      <c r="CG22" s="212"/>
      <c r="CH22" s="212"/>
      <c r="CI22" s="212"/>
      <c r="CJ22" s="212"/>
      <c r="CK22" s="212"/>
      <c r="CL22" s="212"/>
      <c r="CM22" s="212"/>
      <c r="CN22" s="212"/>
      <c r="CO22" s="212"/>
      <c r="CP22" s="213">
        <f t="shared" si="71"/>
        <v>0</v>
      </c>
      <c r="CQ22" s="213">
        <f t="shared" si="71"/>
        <v>0</v>
      </c>
      <c r="CR22" s="213">
        <f t="shared" si="71"/>
        <v>0</v>
      </c>
      <c r="CS22" s="213">
        <f>IF(CR22&gt;0,(CP22/CR22),0)</f>
        <v>0</v>
      </c>
      <c r="CT22" s="213">
        <f>IF(CR22&gt;0,(CQ22/CR22),0)</f>
        <v>0</v>
      </c>
      <c r="CU22" s="212"/>
      <c r="CV22" s="212"/>
      <c r="CW22" s="212"/>
      <c r="CX22" s="212"/>
      <c r="CY22" s="212"/>
      <c r="CZ22" s="212"/>
      <c r="DA22" s="212"/>
      <c r="DB22" s="212"/>
      <c r="DC22" s="212"/>
      <c r="DD22" s="212"/>
      <c r="DE22" s="212"/>
      <c r="DF22" s="212"/>
      <c r="DG22" s="212"/>
      <c r="DH22" s="212"/>
      <c r="DI22" s="212"/>
      <c r="DJ22" s="212"/>
      <c r="DK22" s="212"/>
      <c r="DL22" s="212"/>
      <c r="DM22" s="212"/>
      <c r="DN22" s="212"/>
      <c r="DO22" s="212"/>
      <c r="DP22" s="212"/>
      <c r="DQ22" s="212"/>
      <c r="DR22" s="212"/>
      <c r="DS22" s="212"/>
      <c r="DT22" s="212"/>
      <c r="DU22" s="212"/>
      <c r="DV22" s="212"/>
      <c r="DW22" s="212"/>
      <c r="DX22" s="213">
        <f t="shared" si="72"/>
        <v>0</v>
      </c>
      <c r="DY22" s="213">
        <f t="shared" si="72"/>
        <v>0</v>
      </c>
      <c r="DZ22" s="213">
        <f t="shared" si="72"/>
        <v>0</v>
      </c>
      <c r="EA22" s="213">
        <f>IF(DZ22&gt;0,(DX22/DZ22),0)</f>
        <v>0</v>
      </c>
      <c r="EB22" s="213">
        <f>IF(DZ22&gt;0,(DY22/DZ22),0)</f>
        <v>0</v>
      </c>
      <c r="EC22" s="212"/>
      <c r="ED22" s="212"/>
      <c r="EE22" s="212"/>
      <c r="EF22" s="212"/>
      <c r="EG22" s="212"/>
      <c r="EH22" s="212"/>
      <c r="EI22" s="212"/>
      <c r="EJ22" s="212"/>
      <c r="EK22" s="212"/>
      <c r="EL22" s="212"/>
      <c r="EM22" s="212"/>
      <c r="EN22" s="212"/>
      <c r="EO22" s="212"/>
      <c r="EP22" s="212"/>
      <c r="EQ22" s="212"/>
      <c r="ER22" s="212"/>
      <c r="ES22" s="212"/>
      <c r="ET22" s="212"/>
      <c r="EU22" s="212"/>
      <c r="EV22" s="212"/>
      <c r="EW22" s="212"/>
      <c r="EX22" s="212"/>
      <c r="EY22" s="212"/>
      <c r="EZ22" s="212"/>
      <c r="FA22" s="212"/>
      <c r="FB22" s="212"/>
      <c r="FC22" s="212"/>
      <c r="FD22" s="212"/>
      <c r="FE22" s="212"/>
      <c r="FF22" s="213">
        <f t="shared" si="73"/>
        <v>0</v>
      </c>
      <c r="FG22" s="213">
        <f t="shared" si="73"/>
        <v>0</v>
      </c>
      <c r="FH22" s="213">
        <f t="shared" si="73"/>
        <v>0</v>
      </c>
      <c r="FI22" s="213">
        <f>IF(FH22&gt;0,(FF22/FH22),0)</f>
        <v>0</v>
      </c>
      <c r="FJ22" s="213">
        <f>IF(FH22&gt;0,(FG22/FH22),0)</f>
        <v>0</v>
      </c>
      <c r="FK22"/>
      <c r="FL22"/>
      <c r="FM22"/>
      <c r="FN22"/>
      <c r="FO22"/>
      <c r="FP22"/>
      <c r="FQ22"/>
      <c r="FR22"/>
      <c r="FS22" s="217"/>
      <c r="FT22" s="226" t="s">
        <v>1741</v>
      </c>
      <c r="FU22" s="216" t="s">
        <v>1741</v>
      </c>
      <c r="FV22" s="230">
        <f>SUMIF(PLAN_201X!$B$2:$B$19,PLAN_201X!$B12,PLAN_201X!C$2:C$19)</f>
        <v>0</v>
      </c>
      <c r="FW22" s="230">
        <f>SUMIF(PLAN_201X!$B$2:$B$19,PLAN_201X!$B12,PLAN_201X!D$2:D$19)</f>
        <v>0</v>
      </c>
      <c r="FX22" s="230">
        <f>SUMIF(PLAN_201X!$B$2:$B$19,PLAN_201X!$B12,PLAN_201X!E$2:E$19)</f>
        <v>0</v>
      </c>
      <c r="FY22" s="217"/>
      <c r="FZ22" s="197"/>
    </row>
    <row r="23" spans="6:182" s="153" customFormat="1" ht="13.5" hidden="1" customHeight="1"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5"/>
      <c r="AB23" s="221" t="s">
        <v>1744</v>
      </c>
      <c r="AC23" s="221" t="str">
        <f t="shared" ref="AC23:AC28" si="74">AB23</f>
        <v>Дрова</v>
      </c>
      <c r="AD23" s="221" t="str">
        <f t="shared" si="69"/>
        <v>Дрова :: ACTI</v>
      </c>
      <c r="AE23" s="213">
        <f>IF(AK23&gt;0,((AN23-AV23-BA23-BF23)/AK23*1000),0)</f>
        <v>0</v>
      </c>
      <c r="AF23" s="213">
        <f>IF(AK23&gt;0,((AO23-AW23-BB23-BG23)/AK23*1000),0)</f>
        <v>0</v>
      </c>
      <c r="AG23" s="213">
        <f t="shared" ref="AG23:AG29" si="75">IF(AK23=0,0,AN23/AK23*1000)</f>
        <v>0</v>
      </c>
      <c r="AH23" s="213">
        <f t="shared" ref="AH23:AH29" si="76">IF(AK23=0,0,AO23/AK23*1000)</f>
        <v>0</v>
      </c>
      <c r="AI23" s="213">
        <f t="shared" ref="AI23:AI29" si="77">IF(AM23=0,0,AN23/AM23*1000)</f>
        <v>0</v>
      </c>
      <c r="AJ23" s="213">
        <f t="shared" ref="AJ23:AJ29" si="78">IF(AM23=0,0,AO23/AM23*1000)</f>
        <v>0</v>
      </c>
      <c r="AK23" s="213">
        <f t="shared" ref="AK23:AK29" si="79">SUMIF($AD$45:$AD$66,$AD23,AK$45:AK$66)</f>
        <v>0</v>
      </c>
      <c r="AL23" s="213"/>
      <c r="AM23" s="213">
        <f t="shared" ref="AM23:AO29" si="80">SUMIF($AD$45:$AD$66,$AD23,AM$45:AM$66)</f>
        <v>0</v>
      </c>
      <c r="AN23" s="213">
        <f t="shared" si="80"/>
        <v>0</v>
      </c>
      <c r="AO23" s="213">
        <f t="shared" si="80"/>
        <v>0</v>
      </c>
      <c r="AP23" s="213"/>
      <c r="AQ23" s="213"/>
      <c r="AR23" s="213"/>
      <c r="AS23" s="213">
        <f>IF(AU23&gt;0,(AV23/AU23*1000),0)</f>
        <v>0</v>
      </c>
      <c r="AT23" s="213">
        <f>IF(AU23&gt;0,(AW23/AU23*1000),0)</f>
        <v>0</v>
      </c>
      <c r="AU23" s="213">
        <f t="shared" ref="AU23:AW29" si="81">SUMIF($AD$45:$AD$66,$AD23,AU$45:AU$66)</f>
        <v>0</v>
      </c>
      <c r="AV23" s="213">
        <f t="shared" si="81"/>
        <v>0</v>
      </c>
      <c r="AW23" s="213">
        <f t="shared" si="81"/>
        <v>0</v>
      </c>
      <c r="AX23" s="213">
        <f>IF(AZ23&gt;0,(BA23/AZ23*1000),0)</f>
        <v>0</v>
      </c>
      <c r="AY23" s="213">
        <f>IF(AZ23&gt;0,(BB23/AZ23*1000),0)</f>
        <v>0</v>
      </c>
      <c r="AZ23" s="213">
        <f t="shared" ref="AZ23:BB29" si="82">SUMIF($AD$45:$AD$66,$AD23,AZ$45:AZ$66)</f>
        <v>0</v>
      </c>
      <c r="BA23" s="213">
        <f t="shared" si="82"/>
        <v>0</v>
      </c>
      <c r="BB23" s="213">
        <f t="shared" si="82"/>
        <v>0</v>
      </c>
      <c r="BC23" s="213">
        <f>IF(BE23&gt;0,(BF23/BE23*1000),0)</f>
        <v>0</v>
      </c>
      <c r="BD23" s="213">
        <f>IF(BE23&gt;0,(BG23/BE23*1000),0)</f>
        <v>0</v>
      </c>
      <c r="BE23" s="213">
        <f t="shared" ref="BE23:BG29" si="83">SUMIF($AD$45:$AD$66,$AD23,BE$45:BE$66)</f>
        <v>0</v>
      </c>
      <c r="BF23" s="213">
        <f t="shared" si="83"/>
        <v>0</v>
      </c>
      <c r="BG23" s="213">
        <f t="shared" si="83"/>
        <v>0</v>
      </c>
      <c r="BH23" s="212"/>
      <c r="BI23" s="212"/>
      <c r="BJ23" s="212"/>
      <c r="BK23" s="212"/>
      <c r="BL23" s="212"/>
      <c r="BM23" s="213">
        <f>IF(BS23&gt;0,((BV23-CD23-CI23-CN23)/BS23*1000),0)</f>
        <v>0</v>
      </c>
      <c r="BN23" s="213">
        <f>IF(BS23&gt;0,((BW23-CE23-CJ23-CO23)/BS23*1000),0)</f>
        <v>0</v>
      </c>
      <c r="BO23" s="213">
        <f t="shared" ref="BO23:BO29" si="84">IF(BS23=0,0,BV23/BS23*1000)</f>
        <v>0</v>
      </c>
      <c r="BP23" s="213">
        <f t="shared" ref="BP23:BP29" si="85">IF(BS23=0,0,BW23/BS23*1000)</f>
        <v>0</v>
      </c>
      <c r="BQ23" s="213">
        <f t="shared" ref="BQ23:BQ29" si="86">IF(BU23=0,0,BV23/BU23*1000)</f>
        <v>0</v>
      </c>
      <c r="BR23" s="213">
        <f t="shared" ref="BR23:BR29" si="87">IF(BU23=0,0,BW23/BU23*1000)</f>
        <v>0</v>
      </c>
      <c r="BS23" s="213">
        <f t="shared" ref="BS23:BS29" si="88">SUMIF($AD$45:$AD$66,$AD23,BS$45:BS$66)</f>
        <v>0</v>
      </c>
      <c r="BT23" s="213"/>
      <c r="BU23" s="213">
        <f t="shared" ref="BU23:BW29" si="89">SUMIF($AD$45:$AD$66,$AD23,BU$45:BU$66)</f>
        <v>0</v>
      </c>
      <c r="BV23" s="213">
        <f t="shared" si="89"/>
        <v>0</v>
      </c>
      <c r="BW23" s="213">
        <f t="shared" si="89"/>
        <v>0</v>
      </c>
      <c r="BX23" s="213"/>
      <c r="BY23" s="213"/>
      <c r="BZ23" s="213"/>
      <c r="CA23" s="213">
        <f>IF(CC23&gt;0,(CD23/CC23*1000),0)</f>
        <v>0</v>
      </c>
      <c r="CB23" s="213">
        <f>IF(CC23&gt;0,(CE23/CC23*1000),0)</f>
        <v>0</v>
      </c>
      <c r="CC23" s="213">
        <f t="shared" ref="CC23:CE29" si="90">SUMIF($AD$45:$AD$66,$AD23,CC$45:CC$66)</f>
        <v>0</v>
      </c>
      <c r="CD23" s="213">
        <f t="shared" si="90"/>
        <v>0</v>
      </c>
      <c r="CE23" s="213">
        <f t="shared" si="90"/>
        <v>0</v>
      </c>
      <c r="CF23" s="213">
        <f>IF(CH23&gt;0,(CI23/CH23*1000),0)</f>
        <v>0</v>
      </c>
      <c r="CG23" s="213">
        <f>IF(CH23&gt;0,(CJ23/CH23*1000),0)</f>
        <v>0</v>
      </c>
      <c r="CH23" s="213">
        <f t="shared" ref="CH23:CJ29" si="91">SUMIF($AD$45:$AD$66,$AD23,CH$45:CH$66)</f>
        <v>0</v>
      </c>
      <c r="CI23" s="213">
        <f t="shared" si="91"/>
        <v>0</v>
      </c>
      <c r="CJ23" s="213">
        <f t="shared" si="91"/>
        <v>0</v>
      </c>
      <c r="CK23" s="213">
        <f>IF(CM23&gt;0,(CN23/CM23*1000),0)</f>
        <v>0</v>
      </c>
      <c r="CL23" s="213">
        <f>IF(CM23&gt;0,(CO23/CM23*1000),0)</f>
        <v>0</v>
      </c>
      <c r="CM23" s="213">
        <f t="shared" ref="CM23:CO29" si="92">SUMIF($AD$45:$AD$66,$AD23,CM$45:CM$66)</f>
        <v>0</v>
      </c>
      <c r="CN23" s="213">
        <f t="shared" si="92"/>
        <v>0</v>
      </c>
      <c r="CO23" s="213">
        <f t="shared" si="92"/>
        <v>0</v>
      </c>
      <c r="CP23" s="212"/>
      <c r="CQ23" s="212"/>
      <c r="CR23" s="212"/>
      <c r="CS23" s="212"/>
      <c r="CT23" s="212"/>
      <c r="CU23" s="213">
        <f>IF(DA23&gt;0,((DD23-DL23-DQ23-DV23)/DA23*1000),0)</f>
        <v>0</v>
      </c>
      <c r="CV23" s="213">
        <f>IF(DA23&gt;0,((DE23-DM23-DR23-DW23)/DA23*1000),0)</f>
        <v>0</v>
      </c>
      <c r="CW23" s="213">
        <f t="shared" ref="CW23:CW29" si="93">IF(DA23=0,0,DD23/DA23*1000)</f>
        <v>0</v>
      </c>
      <c r="CX23" s="213">
        <f t="shared" ref="CX23:CX29" si="94">IF(DA23=0,0,DE23/DA23*1000)</f>
        <v>0</v>
      </c>
      <c r="CY23" s="213">
        <f t="shared" ref="CY23:CY29" si="95">IF(DC23=0,0,DD23/DC23*1000)</f>
        <v>0</v>
      </c>
      <c r="CZ23" s="213">
        <f t="shared" ref="CZ23:CZ29" si="96">IF(DC23=0,0,DE23/DC23*1000)</f>
        <v>0</v>
      </c>
      <c r="DA23" s="213">
        <f t="shared" ref="DA23:DA29" si="97">SUMIF($AD$45:$AD$66,$AD23,DA$45:DA$66)</f>
        <v>0</v>
      </c>
      <c r="DB23" s="213"/>
      <c r="DC23" s="213">
        <f t="shared" ref="DC23:DE29" si="98">SUMIF($AD$45:$AD$66,$AD23,DC$45:DC$66)</f>
        <v>0</v>
      </c>
      <c r="DD23" s="213">
        <f t="shared" si="98"/>
        <v>0</v>
      </c>
      <c r="DE23" s="213">
        <f t="shared" si="98"/>
        <v>0</v>
      </c>
      <c r="DF23" s="213"/>
      <c r="DG23" s="213"/>
      <c r="DH23" s="213"/>
      <c r="DI23" s="213">
        <f>IF(DK23&gt;0,(DL23/DK23*1000),0)</f>
        <v>0</v>
      </c>
      <c r="DJ23" s="213">
        <f>IF(DK23&gt;0,(DM23/DK23*1000),0)</f>
        <v>0</v>
      </c>
      <c r="DK23" s="213">
        <f t="shared" ref="DK23:DM29" si="99">SUMIF($AD$45:$AD$66,$AD23,DK$45:DK$66)</f>
        <v>0</v>
      </c>
      <c r="DL23" s="213">
        <f t="shared" si="99"/>
        <v>0</v>
      </c>
      <c r="DM23" s="213">
        <f t="shared" si="99"/>
        <v>0</v>
      </c>
      <c r="DN23" s="213">
        <f>IF(DP23&gt;0,(DQ23/DP23*1000),0)</f>
        <v>0</v>
      </c>
      <c r="DO23" s="213">
        <f>IF(DP23&gt;0,(DR23/DP23*1000),0)</f>
        <v>0</v>
      </c>
      <c r="DP23" s="213">
        <f t="shared" ref="DP23:DR29" si="100">SUMIF($AD$45:$AD$66,$AD23,DP$45:DP$66)</f>
        <v>0</v>
      </c>
      <c r="DQ23" s="213">
        <f t="shared" si="100"/>
        <v>0</v>
      </c>
      <c r="DR23" s="213">
        <f t="shared" si="100"/>
        <v>0</v>
      </c>
      <c r="DS23" s="213">
        <f>IF(DU23&gt;0,(DV23/DU23*1000),0)</f>
        <v>0</v>
      </c>
      <c r="DT23" s="213">
        <f>IF(DU23&gt;0,(DW23/DU23*1000),0)</f>
        <v>0</v>
      </c>
      <c r="DU23" s="213">
        <f t="shared" ref="DU23:DW29" si="101">SUMIF($AD$45:$AD$66,$AD23,DU$45:DU$66)</f>
        <v>0</v>
      </c>
      <c r="DV23" s="213">
        <f t="shared" si="101"/>
        <v>0</v>
      </c>
      <c r="DW23" s="213">
        <f t="shared" si="101"/>
        <v>0</v>
      </c>
      <c r="DX23" s="212"/>
      <c r="DY23" s="212"/>
      <c r="DZ23" s="212"/>
      <c r="EA23" s="212"/>
      <c r="EB23" s="212"/>
      <c r="EC23" s="213">
        <f>IF(EI23&gt;0,((EL23-ET23-EY23-FD23)/EI23*1000),0)</f>
        <v>0</v>
      </c>
      <c r="ED23" s="213">
        <f>IF(EI23&gt;0,((EM23-EU23-EZ23-FE23)/EI23*1000),0)</f>
        <v>0</v>
      </c>
      <c r="EE23" s="213">
        <f t="shared" ref="EE23:EE29" si="102">IF(EI23=0,0,EL23/EI23*1000)</f>
        <v>0</v>
      </c>
      <c r="EF23" s="213">
        <f t="shared" ref="EF23:EF29" si="103">IF(EI23=0,0,EM23/EI23*1000)</f>
        <v>0</v>
      </c>
      <c r="EG23" s="213">
        <f t="shared" ref="EG23:EG29" si="104">IF(EK23=0,0,EL23/EK23*1000)</f>
        <v>0</v>
      </c>
      <c r="EH23" s="213">
        <f t="shared" ref="EH23:EH29" si="105">IF(EK23=0,0,EM23/EK23*1000)</f>
        <v>0</v>
      </c>
      <c r="EI23" s="213">
        <f t="shared" ref="EI23:EI29" si="106">SUMIF($AD$45:$AD$66,$AD23,EI$45:EI$66)</f>
        <v>0</v>
      </c>
      <c r="EJ23" s="213"/>
      <c r="EK23" s="213">
        <f t="shared" ref="EK23:EM29" si="107">SUMIF($AD$45:$AD$66,$AD23,EK$45:EK$66)</f>
        <v>0</v>
      </c>
      <c r="EL23" s="213">
        <f t="shared" si="107"/>
        <v>0</v>
      </c>
      <c r="EM23" s="213">
        <f t="shared" si="107"/>
        <v>0</v>
      </c>
      <c r="EN23" s="213"/>
      <c r="EO23" s="213"/>
      <c r="EP23" s="213"/>
      <c r="EQ23" s="213">
        <f>IF(ES23&gt;0,(ET23/ES23*1000),0)</f>
        <v>0</v>
      </c>
      <c r="ER23" s="213">
        <f>IF(ES23&gt;0,(EU23/ES23*1000),0)</f>
        <v>0</v>
      </c>
      <c r="ES23" s="213">
        <f t="shared" ref="ES23:EU29" si="108">SUMIF($AD$45:$AD$66,$AD23,ES$45:ES$66)</f>
        <v>0</v>
      </c>
      <c r="ET23" s="213">
        <f t="shared" si="108"/>
        <v>0</v>
      </c>
      <c r="EU23" s="213">
        <f t="shared" si="108"/>
        <v>0</v>
      </c>
      <c r="EV23" s="213">
        <f>IF(EX23&gt;0,(EY23/EX23*1000),0)</f>
        <v>0</v>
      </c>
      <c r="EW23" s="213">
        <f>IF(EX23&gt;0,(EZ23/EX23*1000),0)</f>
        <v>0</v>
      </c>
      <c r="EX23" s="213">
        <f t="shared" ref="EX23:EZ29" si="109">SUMIF($AD$45:$AD$66,$AD23,EX$45:EX$66)</f>
        <v>0</v>
      </c>
      <c r="EY23" s="213">
        <f t="shared" si="109"/>
        <v>0</v>
      </c>
      <c r="EZ23" s="213">
        <f t="shared" si="109"/>
        <v>0</v>
      </c>
      <c r="FA23" s="213">
        <f>IF(FC23&gt;0,(FD23/FC23*1000),0)</f>
        <v>0</v>
      </c>
      <c r="FB23" s="213">
        <f>IF(FC23&gt;0,(FE23/FC23*1000),0)</f>
        <v>0</v>
      </c>
      <c r="FC23" s="213">
        <f t="shared" ref="FC23:FE29" si="110">SUMIF($AD$45:$AD$66,$AD23,FC$45:FC$66)</f>
        <v>0</v>
      </c>
      <c r="FD23" s="213">
        <f t="shared" si="110"/>
        <v>0</v>
      </c>
      <c r="FE23" s="213">
        <f t="shared" si="110"/>
        <v>0</v>
      </c>
      <c r="FF23" s="212"/>
      <c r="FG23" s="212"/>
      <c r="FH23" s="212"/>
      <c r="FI23" s="212"/>
      <c r="FJ23" s="212"/>
      <c r="FK23"/>
      <c r="FL23"/>
      <c r="FM23"/>
      <c r="FN23"/>
      <c r="FO23"/>
      <c r="FP23"/>
      <c r="FQ23"/>
      <c r="FR23"/>
      <c r="FS23" s="217"/>
      <c r="FT23" s="226" t="s">
        <v>1744</v>
      </c>
      <c r="FU23" s="216" t="s">
        <v>1744</v>
      </c>
      <c r="FV23" s="230">
        <f>SUMIF(PLAN_201X!$B$2:$B$19,PLAN_201X!$B13,PLAN_201X!C$2:C$19)</f>
        <v>0</v>
      </c>
      <c r="FW23" s="230">
        <f>SUMIF(PLAN_201X!$B$2:$B$19,PLAN_201X!$B13,PLAN_201X!D$2:D$19)</f>
        <v>0</v>
      </c>
      <c r="FX23" s="230">
        <f>SUMIF(PLAN_201X!$B$2:$B$19,PLAN_201X!$B13,PLAN_201X!E$2:E$19)</f>
        <v>0</v>
      </c>
      <c r="FY23" s="217"/>
      <c r="FZ23" s="197"/>
    </row>
    <row r="24" spans="6:182" s="153" customFormat="1" ht="13.5" hidden="1" customHeight="1"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5"/>
      <c r="AB24" s="221" t="s">
        <v>26</v>
      </c>
      <c r="AC24" s="221" t="str">
        <f t="shared" si="74"/>
        <v>Пеллеты</v>
      </c>
      <c r="AD24" s="221" t="str">
        <f t="shared" si="69"/>
        <v>Пеллеты :: ACTI</v>
      </c>
      <c r="AE24" s="213">
        <f t="shared" ref="AE24:AE29" si="111">IF(AK24&gt;0,((AN24-AV24-BA24-BF24)/AK24*1000),0)</f>
        <v>0</v>
      </c>
      <c r="AF24" s="213">
        <f t="shared" ref="AF24:AF29" si="112">IF(AK24&gt;0,((AO24-AW24-BB24-BG24)/AK24*1000),0)</f>
        <v>0</v>
      </c>
      <c r="AG24" s="213">
        <f t="shared" si="75"/>
        <v>0</v>
      </c>
      <c r="AH24" s="213">
        <f t="shared" si="76"/>
        <v>0</v>
      </c>
      <c r="AI24" s="213">
        <f t="shared" si="77"/>
        <v>0</v>
      </c>
      <c r="AJ24" s="213">
        <f t="shared" si="78"/>
        <v>0</v>
      </c>
      <c r="AK24" s="213">
        <f t="shared" si="79"/>
        <v>0</v>
      </c>
      <c r="AL24" s="213"/>
      <c r="AM24" s="213">
        <f t="shared" si="80"/>
        <v>0</v>
      </c>
      <c r="AN24" s="213">
        <f t="shared" si="80"/>
        <v>0</v>
      </c>
      <c r="AO24" s="213">
        <f t="shared" si="80"/>
        <v>0</v>
      </c>
      <c r="AP24" s="213"/>
      <c r="AQ24" s="213"/>
      <c r="AR24" s="213"/>
      <c r="AS24" s="213">
        <f t="shared" ref="AS24:AS29" si="113">IF(AU24&gt;0,(AV24/AU24*1000),0)</f>
        <v>0</v>
      </c>
      <c r="AT24" s="213">
        <f t="shared" ref="AT24:AT29" si="114">IF(AU24&gt;0,(AW24/AU24*1000),0)</f>
        <v>0</v>
      </c>
      <c r="AU24" s="213">
        <f t="shared" si="81"/>
        <v>0</v>
      </c>
      <c r="AV24" s="213">
        <f t="shared" si="81"/>
        <v>0</v>
      </c>
      <c r="AW24" s="213">
        <f t="shared" si="81"/>
        <v>0</v>
      </c>
      <c r="AX24" s="213">
        <f t="shared" ref="AX24:AX29" si="115">IF(AZ24&gt;0,(BA24/AZ24*1000),0)</f>
        <v>0</v>
      </c>
      <c r="AY24" s="213">
        <f t="shared" ref="AY24:AY29" si="116">IF(AZ24&gt;0,(BB24/AZ24*1000),0)</f>
        <v>0</v>
      </c>
      <c r="AZ24" s="213">
        <f t="shared" si="82"/>
        <v>0</v>
      </c>
      <c r="BA24" s="213">
        <f t="shared" si="82"/>
        <v>0</v>
      </c>
      <c r="BB24" s="213">
        <f t="shared" si="82"/>
        <v>0</v>
      </c>
      <c r="BC24" s="213">
        <f t="shared" ref="BC24:BC29" si="117">IF(BE24&gt;0,(BF24/BE24*1000),0)</f>
        <v>0</v>
      </c>
      <c r="BD24" s="213">
        <f t="shared" ref="BD24:BD29" si="118">IF(BE24&gt;0,(BG24/BE24*1000),0)</f>
        <v>0</v>
      </c>
      <c r="BE24" s="213">
        <f t="shared" si="83"/>
        <v>0</v>
      </c>
      <c r="BF24" s="213">
        <f t="shared" si="83"/>
        <v>0</v>
      </c>
      <c r="BG24" s="213">
        <f t="shared" si="83"/>
        <v>0</v>
      </c>
      <c r="BH24" s="212"/>
      <c r="BI24" s="212"/>
      <c r="BJ24" s="212"/>
      <c r="BK24" s="212"/>
      <c r="BL24" s="212"/>
      <c r="BM24" s="213">
        <f t="shared" ref="BM24:BM29" si="119">IF(BS24&gt;0,((BV24-CD24-CI24-CN24)/BS24*1000),0)</f>
        <v>0</v>
      </c>
      <c r="BN24" s="213">
        <f t="shared" ref="BN24:BN29" si="120">IF(BS24&gt;0,((BW24-CE24-CJ24-CO24)/BS24*1000),0)</f>
        <v>0</v>
      </c>
      <c r="BO24" s="213">
        <f t="shared" si="84"/>
        <v>0</v>
      </c>
      <c r="BP24" s="213">
        <f t="shared" si="85"/>
        <v>0</v>
      </c>
      <c r="BQ24" s="213">
        <f t="shared" si="86"/>
        <v>0</v>
      </c>
      <c r="BR24" s="213">
        <f t="shared" si="87"/>
        <v>0</v>
      </c>
      <c r="BS24" s="213">
        <f t="shared" si="88"/>
        <v>0</v>
      </c>
      <c r="BT24" s="213"/>
      <c r="BU24" s="213">
        <f t="shared" si="89"/>
        <v>0</v>
      </c>
      <c r="BV24" s="213">
        <f t="shared" si="89"/>
        <v>0</v>
      </c>
      <c r="BW24" s="213">
        <f t="shared" si="89"/>
        <v>0</v>
      </c>
      <c r="BX24" s="213"/>
      <c r="BY24" s="213"/>
      <c r="BZ24" s="213"/>
      <c r="CA24" s="213">
        <f t="shared" ref="CA24:CA29" si="121">IF(CC24&gt;0,(CD24/CC24*1000),0)</f>
        <v>0</v>
      </c>
      <c r="CB24" s="213">
        <f t="shared" ref="CB24:CB29" si="122">IF(CC24&gt;0,(CE24/CC24*1000),0)</f>
        <v>0</v>
      </c>
      <c r="CC24" s="213">
        <f t="shared" si="90"/>
        <v>0</v>
      </c>
      <c r="CD24" s="213">
        <f t="shared" si="90"/>
        <v>0</v>
      </c>
      <c r="CE24" s="213">
        <f t="shared" si="90"/>
        <v>0</v>
      </c>
      <c r="CF24" s="213">
        <f t="shared" ref="CF24:CF29" si="123">IF(CH24&gt;0,(CI24/CH24*1000),0)</f>
        <v>0</v>
      </c>
      <c r="CG24" s="213">
        <f t="shared" ref="CG24:CG29" si="124">IF(CH24&gt;0,(CJ24/CH24*1000),0)</f>
        <v>0</v>
      </c>
      <c r="CH24" s="213">
        <f t="shared" si="91"/>
        <v>0</v>
      </c>
      <c r="CI24" s="213">
        <f t="shared" si="91"/>
        <v>0</v>
      </c>
      <c r="CJ24" s="213">
        <f t="shared" si="91"/>
        <v>0</v>
      </c>
      <c r="CK24" s="213">
        <f t="shared" ref="CK24:CK29" si="125">IF(CM24&gt;0,(CN24/CM24*1000),0)</f>
        <v>0</v>
      </c>
      <c r="CL24" s="213">
        <f t="shared" ref="CL24:CL29" si="126">IF(CM24&gt;0,(CO24/CM24*1000),0)</f>
        <v>0</v>
      </c>
      <c r="CM24" s="213">
        <f t="shared" si="92"/>
        <v>0</v>
      </c>
      <c r="CN24" s="213">
        <f t="shared" si="92"/>
        <v>0</v>
      </c>
      <c r="CO24" s="213">
        <f t="shared" si="92"/>
        <v>0</v>
      </c>
      <c r="CP24" s="212"/>
      <c r="CQ24" s="212"/>
      <c r="CR24" s="212"/>
      <c r="CS24" s="212"/>
      <c r="CT24" s="212"/>
      <c r="CU24" s="213">
        <f t="shared" ref="CU24:CU29" si="127">IF(DA24&gt;0,((DD24-DL24-DQ24-DV24)/DA24*1000),0)</f>
        <v>0</v>
      </c>
      <c r="CV24" s="213">
        <f t="shared" ref="CV24:CV29" si="128">IF(DA24&gt;0,((DE24-DM24-DR24-DW24)/DA24*1000),0)</f>
        <v>0</v>
      </c>
      <c r="CW24" s="213">
        <f t="shared" si="93"/>
        <v>0</v>
      </c>
      <c r="CX24" s="213">
        <f t="shared" si="94"/>
        <v>0</v>
      </c>
      <c r="CY24" s="213">
        <f t="shared" si="95"/>
        <v>0</v>
      </c>
      <c r="CZ24" s="213">
        <f t="shared" si="96"/>
        <v>0</v>
      </c>
      <c r="DA24" s="213">
        <f t="shared" si="97"/>
        <v>0</v>
      </c>
      <c r="DB24" s="213"/>
      <c r="DC24" s="213">
        <f t="shared" si="98"/>
        <v>0</v>
      </c>
      <c r="DD24" s="213">
        <f t="shared" si="98"/>
        <v>0</v>
      </c>
      <c r="DE24" s="213">
        <f t="shared" si="98"/>
        <v>0</v>
      </c>
      <c r="DF24" s="213"/>
      <c r="DG24" s="213"/>
      <c r="DH24" s="213"/>
      <c r="DI24" s="213">
        <f t="shared" ref="DI24:DI29" si="129">IF(DK24&gt;0,(DL24/DK24*1000),0)</f>
        <v>0</v>
      </c>
      <c r="DJ24" s="213">
        <f t="shared" ref="DJ24:DJ29" si="130">IF(DK24&gt;0,(DM24/DK24*1000),0)</f>
        <v>0</v>
      </c>
      <c r="DK24" s="213">
        <f t="shared" si="99"/>
        <v>0</v>
      </c>
      <c r="DL24" s="213">
        <f t="shared" si="99"/>
        <v>0</v>
      </c>
      <c r="DM24" s="213">
        <f t="shared" si="99"/>
        <v>0</v>
      </c>
      <c r="DN24" s="213">
        <f t="shared" ref="DN24:DN29" si="131">IF(DP24&gt;0,(DQ24/DP24*1000),0)</f>
        <v>0</v>
      </c>
      <c r="DO24" s="213">
        <f t="shared" ref="DO24:DO29" si="132">IF(DP24&gt;0,(DR24/DP24*1000),0)</f>
        <v>0</v>
      </c>
      <c r="DP24" s="213">
        <f t="shared" si="100"/>
        <v>0</v>
      </c>
      <c r="DQ24" s="213">
        <f t="shared" si="100"/>
        <v>0</v>
      </c>
      <c r="DR24" s="213">
        <f t="shared" si="100"/>
        <v>0</v>
      </c>
      <c r="DS24" s="213">
        <f t="shared" ref="DS24:DS29" si="133">IF(DU24&gt;0,(DV24/DU24*1000),0)</f>
        <v>0</v>
      </c>
      <c r="DT24" s="213">
        <f t="shared" ref="DT24:DT29" si="134">IF(DU24&gt;0,(DW24/DU24*1000),0)</f>
        <v>0</v>
      </c>
      <c r="DU24" s="213">
        <f t="shared" si="101"/>
        <v>0</v>
      </c>
      <c r="DV24" s="213">
        <f t="shared" si="101"/>
        <v>0</v>
      </c>
      <c r="DW24" s="213">
        <f t="shared" si="101"/>
        <v>0</v>
      </c>
      <c r="DX24" s="212"/>
      <c r="DY24" s="212"/>
      <c r="DZ24" s="212"/>
      <c r="EA24" s="212"/>
      <c r="EB24" s="212"/>
      <c r="EC24" s="213">
        <f t="shared" ref="EC24:EC29" si="135">IF(EI24&gt;0,((EL24-ET24-EY24-FD24)/EI24*1000),0)</f>
        <v>0</v>
      </c>
      <c r="ED24" s="213">
        <f t="shared" ref="ED24:ED29" si="136">IF(EI24&gt;0,((EM24-EU24-EZ24-FE24)/EI24*1000),0)</f>
        <v>0</v>
      </c>
      <c r="EE24" s="213">
        <f t="shared" si="102"/>
        <v>0</v>
      </c>
      <c r="EF24" s="213">
        <f t="shared" si="103"/>
        <v>0</v>
      </c>
      <c r="EG24" s="213">
        <f t="shared" si="104"/>
        <v>0</v>
      </c>
      <c r="EH24" s="213">
        <f t="shared" si="105"/>
        <v>0</v>
      </c>
      <c r="EI24" s="213">
        <f t="shared" si="106"/>
        <v>0</v>
      </c>
      <c r="EJ24" s="213"/>
      <c r="EK24" s="213">
        <f t="shared" si="107"/>
        <v>0</v>
      </c>
      <c r="EL24" s="213">
        <f t="shared" si="107"/>
        <v>0</v>
      </c>
      <c r="EM24" s="213">
        <f t="shared" si="107"/>
        <v>0</v>
      </c>
      <c r="EN24" s="213"/>
      <c r="EO24" s="213"/>
      <c r="EP24" s="213"/>
      <c r="EQ24" s="213">
        <f t="shared" ref="EQ24:EQ29" si="137">IF(ES24&gt;0,(ET24/ES24*1000),0)</f>
        <v>0</v>
      </c>
      <c r="ER24" s="213">
        <f t="shared" ref="ER24:ER29" si="138">IF(ES24&gt;0,(EU24/ES24*1000),0)</f>
        <v>0</v>
      </c>
      <c r="ES24" s="213">
        <f t="shared" si="108"/>
        <v>0</v>
      </c>
      <c r="ET24" s="213">
        <f t="shared" si="108"/>
        <v>0</v>
      </c>
      <c r="EU24" s="213">
        <f t="shared" si="108"/>
        <v>0</v>
      </c>
      <c r="EV24" s="213">
        <f t="shared" ref="EV24:EV29" si="139">IF(EX24&gt;0,(EY24/EX24*1000),0)</f>
        <v>0</v>
      </c>
      <c r="EW24" s="213">
        <f t="shared" ref="EW24:EW29" si="140">IF(EX24&gt;0,(EZ24/EX24*1000),0)</f>
        <v>0</v>
      </c>
      <c r="EX24" s="213">
        <f t="shared" si="109"/>
        <v>0</v>
      </c>
      <c r="EY24" s="213">
        <f t="shared" si="109"/>
        <v>0</v>
      </c>
      <c r="EZ24" s="213">
        <f t="shared" si="109"/>
        <v>0</v>
      </c>
      <c r="FA24" s="213">
        <f t="shared" ref="FA24:FA29" si="141">IF(FC24&gt;0,(FD24/FC24*1000),0)</f>
        <v>0</v>
      </c>
      <c r="FB24" s="213">
        <f t="shared" ref="FB24:FB29" si="142">IF(FC24&gt;0,(FE24/FC24*1000),0)</f>
        <v>0</v>
      </c>
      <c r="FC24" s="213">
        <f t="shared" si="110"/>
        <v>0</v>
      </c>
      <c r="FD24" s="213">
        <f t="shared" si="110"/>
        <v>0</v>
      </c>
      <c r="FE24" s="213">
        <f t="shared" si="110"/>
        <v>0</v>
      </c>
      <c r="FF24" s="212"/>
      <c r="FG24" s="212"/>
      <c r="FH24" s="212"/>
      <c r="FI24" s="212"/>
      <c r="FJ24" s="212"/>
      <c r="FK24"/>
      <c r="FL24"/>
      <c r="FM24"/>
      <c r="FN24"/>
      <c r="FO24"/>
      <c r="FP24"/>
      <c r="FQ24"/>
      <c r="FR24"/>
      <c r="FS24" s="217"/>
      <c r="FT24" s="226" t="s">
        <v>26</v>
      </c>
      <c r="FU24" s="216" t="s">
        <v>26</v>
      </c>
      <c r="FV24" s="230">
        <f>SUMIF(PLAN_201X!$B$2:$B$19,PLAN_201X!$B14,PLAN_201X!C$2:C$19)</f>
        <v>0</v>
      </c>
      <c r="FW24" s="230">
        <f>SUMIF(PLAN_201X!$B$2:$B$19,PLAN_201X!$B14,PLAN_201X!D$2:D$19)</f>
        <v>0</v>
      </c>
      <c r="FX24" s="230">
        <f>SUMIF(PLAN_201X!$B$2:$B$19,PLAN_201X!$B14,PLAN_201X!E$2:E$19)</f>
        <v>0</v>
      </c>
      <c r="FY24" s="217"/>
      <c r="FZ24" s="197"/>
    </row>
    <row r="25" spans="6:182" s="153" customFormat="1" ht="13.5" hidden="1" customHeight="1"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5"/>
      <c r="AB25" s="221" t="s">
        <v>1745</v>
      </c>
      <c r="AC25" s="221" t="str">
        <f t="shared" si="74"/>
        <v>Опилки</v>
      </c>
      <c r="AD25" s="221" t="str">
        <f t="shared" si="69"/>
        <v>Опилки :: ACTI</v>
      </c>
      <c r="AE25" s="213">
        <f t="shared" si="111"/>
        <v>0</v>
      </c>
      <c r="AF25" s="213">
        <f t="shared" si="112"/>
        <v>0</v>
      </c>
      <c r="AG25" s="213">
        <f t="shared" si="75"/>
        <v>0</v>
      </c>
      <c r="AH25" s="213">
        <f t="shared" si="76"/>
        <v>0</v>
      </c>
      <c r="AI25" s="213">
        <f t="shared" si="77"/>
        <v>0</v>
      </c>
      <c r="AJ25" s="213">
        <f t="shared" si="78"/>
        <v>0</v>
      </c>
      <c r="AK25" s="213">
        <f t="shared" si="79"/>
        <v>0</v>
      </c>
      <c r="AL25" s="213"/>
      <c r="AM25" s="213">
        <f t="shared" si="80"/>
        <v>0</v>
      </c>
      <c r="AN25" s="213">
        <f t="shared" si="80"/>
        <v>0</v>
      </c>
      <c r="AO25" s="213">
        <f t="shared" si="80"/>
        <v>0</v>
      </c>
      <c r="AP25" s="213"/>
      <c r="AQ25" s="213"/>
      <c r="AR25" s="213"/>
      <c r="AS25" s="213">
        <f t="shared" si="113"/>
        <v>0</v>
      </c>
      <c r="AT25" s="213">
        <f t="shared" si="114"/>
        <v>0</v>
      </c>
      <c r="AU25" s="213">
        <f t="shared" si="81"/>
        <v>0</v>
      </c>
      <c r="AV25" s="213">
        <f t="shared" si="81"/>
        <v>0</v>
      </c>
      <c r="AW25" s="213">
        <f t="shared" si="81"/>
        <v>0</v>
      </c>
      <c r="AX25" s="213">
        <f t="shared" si="115"/>
        <v>0</v>
      </c>
      <c r="AY25" s="213">
        <f t="shared" si="116"/>
        <v>0</v>
      </c>
      <c r="AZ25" s="213">
        <f t="shared" si="82"/>
        <v>0</v>
      </c>
      <c r="BA25" s="213">
        <f t="shared" si="82"/>
        <v>0</v>
      </c>
      <c r="BB25" s="213">
        <f t="shared" si="82"/>
        <v>0</v>
      </c>
      <c r="BC25" s="213">
        <f t="shared" si="117"/>
        <v>0</v>
      </c>
      <c r="BD25" s="213">
        <f t="shared" si="118"/>
        <v>0</v>
      </c>
      <c r="BE25" s="213">
        <f t="shared" si="83"/>
        <v>0</v>
      </c>
      <c r="BF25" s="213">
        <f t="shared" si="83"/>
        <v>0</v>
      </c>
      <c r="BG25" s="213">
        <f t="shared" si="83"/>
        <v>0</v>
      </c>
      <c r="BH25" s="212"/>
      <c r="BI25" s="212"/>
      <c r="BJ25" s="212"/>
      <c r="BK25" s="212"/>
      <c r="BL25" s="212"/>
      <c r="BM25" s="213">
        <f t="shared" si="119"/>
        <v>0</v>
      </c>
      <c r="BN25" s="213">
        <f t="shared" si="120"/>
        <v>0</v>
      </c>
      <c r="BO25" s="213">
        <f t="shared" si="84"/>
        <v>0</v>
      </c>
      <c r="BP25" s="213">
        <f t="shared" si="85"/>
        <v>0</v>
      </c>
      <c r="BQ25" s="213">
        <f t="shared" si="86"/>
        <v>0</v>
      </c>
      <c r="BR25" s="213">
        <f t="shared" si="87"/>
        <v>0</v>
      </c>
      <c r="BS25" s="213">
        <f t="shared" si="88"/>
        <v>0</v>
      </c>
      <c r="BT25" s="213"/>
      <c r="BU25" s="213">
        <f t="shared" si="89"/>
        <v>0</v>
      </c>
      <c r="BV25" s="213">
        <f t="shared" si="89"/>
        <v>0</v>
      </c>
      <c r="BW25" s="213">
        <f t="shared" si="89"/>
        <v>0</v>
      </c>
      <c r="BX25" s="213"/>
      <c r="BY25" s="213"/>
      <c r="BZ25" s="213"/>
      <c r="CA25" s="213">
        <f t="shared" si="121"/>
        <v>0</v>
      </c>
      <c r="CB25" s="213">
        <f t="shared" si="122"/>
        <v>0</v>
      </c>
      <c r="CC25" s="213">
        <f t="shared" si="90"/>
        <v>0</v>
      </c>
      <c r="CD25" s="213">
        <f t="shared" si="90"/>
        <v>0</v>
      </c>
      <c r="CE25" s="213">
        <f t="shared" si="90"/>
        <v>0</v>
      </c>
      <c r="CF25" s="213">
        <f t="shared" si="123"/>
        <v>0</v>
      </c>
      <c r="CG25" s="213">
        <f t="shared" si="124"/>
        <v>0</v>
      </c>
      <c r="CH25" s="213">
        <f t="shared" si="91"/>
        <v>0</v>
      </c>
      <c r="CI25" s="213">
        <f t="shared" si="91"/>
        <v>0</v>
      </c>
      <c r="CJ25" s="213">
        <f t="shared" si="91"/>
        <v>0</v>
      </c>
      <c r="CK25" s="213">
        <f t="shared" si="125"/>
        <v>0</v>
      </c>
      <c r="CL25" s="213">
        <f t="shared" si="126"/>
        <v>0</v>
      </c>
      <c r="CM25" s="213">
        <f t="shared" si="92"/>
        <v>0</v>
      </c>
      <c r="CN25" s="213">
        <f t="shared" si="92"/>
        <v>0</v>
      </c>
      <c r="CO25" s="213">
        <f t="shared" si="92"/>
        <v>0</v>
      </c>
      <c r="CP25" s="212"/>
      <c r="CQ25" s="212"/>
      <c r="CR25" s="212"/>
      <c r="CS25" s="212"/>
      <c r="CT25" s="212"/>
      <c r="CU25" s="213">
        <f t="shared" si="127"/>
        <v>0</v>
      </c>
      <c r="CV25" s="213">
        <f t="shared" si="128"/>
        <v>0</v>
      </c>
      <c r="CW25" s="213">
        <f t="shared" si="93"/>
        <v>0</v>
      </c>
      <c r="CX25" s="213">
        <f t="shared" si="94"/>
        <v>0</v>
      </c>
      <c r="CY25" s="213">
        <f t="shared" si="95"/>
        <v>0</v>
      </c>
      <c r="CZ25" s="213">
        <f t="shared" si="96"/>
        <v>0</v>
      </c>
      <c r="DA25" s="213">
        <f t="shared" si="97"/>
        <v>0</v>
      </c>
      <c r="DB25" s="213"/>
      <c r="DC25" s="213">
        <f t="shared" si="98"/>
        <v>0</v>
      </c>
      <c r="DD25" s="213">
        <f t="shared" si="98"/>
        <v>0</v>
      </c>
      <c r="DE25" s="213">
        <f t="shared" si="98"/>
        <v>0</v>
      </c>
      <c r="DF25" s="213"/>
      <c r="DG25" s="213"/>
      <c r="DH25" s="213"/>
      <c r="DI25" s="213">
        <f t="shared" si="129"/>
        <v>0</v>
      </c>
      <c r="DJ25" s="213">
        <f t="shared" si="130"/>
        <v>0</v>
      </c>
      <c r="DK25" s="213">
        <f t="shared" si="99"/>
        <v>0</v>
      </c>
      <c r="DL25" s="213">
        <f t="shared" si="99"/>
        <v>0</v>
      </c>
      <c r="DM25" s="213">
        <f t="shared" si="99"/>
        <v>0</v>
      </c>
      <c r="DN25" s="213">
        <f t="shared" si="131"/>
        <v>0</v>
      </c>
      <c r="DO25" s="213">
        <f t="shared" si="132"/>
        <v>0</v>
      </c>
      <c r="DP25" s="213">
        <f t="shared" si="100"/>
        <v>0</v>
      </c>
      <c r="DQ25" s="213">
        <f t="shared" si="100"/>
        <v>0</v>
      </c>
      <c r="DR25" s="213">
        <f t="shared" si="100"/>
        <v>0</v>
      </c>
      <c r="DS25" s="213">
        <f t="shared" si="133"/>
        <v>0</v>
      </c>
      <c r="DT25" s="213">
        <f t="shared" si="134"/>
        <v>0</v>
      </c>
      <c r="DU25" s="213">
        <f t="shared" si="101"/>
        <v>0</v>
      </c>
      <c r="DV25" s="213">
        <f t="shared" si="101"/>
        <v>0</v>
      </c>
      <c r="DW25" s="213">
        <f t="shared" si="101"/>
        <v>0</v>
      </c>
      <c r="DX25" s="212"/>
      <c r="DY25" s="212"/>
      <c r="DZ25" s="212"/>
      <c r="EA25" s="212"/>
      <c r="EB25" s="212"/>
      <c r="EC25" s="213">
        <f t="shared" si="135"/>
        <v>0</v>
      </c>
      <c r="ED25" s="213">
        <f t="shared" si="136"/>
        <v>0</v>
      </c>
      <c r="EE25" s="213">
        <f t="shared" si="102"/>
        <v>0</v>
      </c>
      <c r="EF25" s="213">
        <f t="shared" si="103"/>
        <v>0</v>
      </c>
      <c r="EG25" s="213">
        <f t="shared" si="104"/>
        <v>0</v>
      </c>
      <c r="EH25" s="213">
        <f t="shared" si="105"/>
        <v>0</v>
      </c>
      <c r="EI25" s="213">
        <f t="shared" si="106"/>
        <v>0</v>
      </c>
      <c r="EJ25" s="213"/>
      <c r="EK25" s="213">
        <f t="shared" si="107"/>
        <v>0</v>
      </c>
      <c r="EL25" s="213">
        <f t="shared" si="107"/>
        <v>0</v>
      </c>
      <c r="EM25" s="213">
        <f t="shared" si="107"/>
        <v>0</v>
      </c>
      <c r="EN25" s="213"/>
      <c r="EO25" s="213"/>
      <c r="EP25" s="213"/>
      <c r="EQ25" s="213">
        <f t="shared" si="137"/>
        <v>0</v>
      </c>
      <c r="ER25" s="213">
        <f t="shared" si="138"/>
        <v>0</v>
      </c>
      <c r="ES25" s="213">
        <f t="shared" si="108"/>
        <v>0</v>
      </c>
      <c r="ET25" s="213">
        <f t="shared" si="108"/>
        <v>0</v>
      </c>
      <c r="EU25" s="213">
        <f t="shared" si="108"/>
        <v>0</v>
      </c>
      <c r="EV25" s="213">
        <f t="shared" si="139"/>
        <v>0</v>
      </c>
      <c r="EW25" s="213">
        <f t="shared" si="140"/>
        <v>0</v>
      </c>
      <c r="EX25" s="213">
        <f t="shared" si="109"/>
        <v>0</v>
      </c>
      <c r="EY25" s="213">
        <f t="shared" si="109"/>
        <v>0</v>
      </c>
      <c r="EZ25" s="213">
        <f t="shared" si="109"/>
        <v>0</v>
      </c>
      <c r="FA25" s="213">
        <f t="shared" si="141"/>
        <v>0</v>
      </c>
      <c r="FB25" s="213">
        <f t="shared" si="142"/>
        <v>0</v>
      </c>
      <c r="FC25" s="213">
        <f t="shared" si="110"/>
        <v>0</v>
      </c>
      <c r="FD25" s="213">
        <f t="shared" si="110"/>
        <v>0</v>
      </c>
      <c r="FE25" s="213">
        <f t="shared" si="110"/>
        <v>0</v>
      </c>
      <c r="FF25" s="212"/>
      <c r="FG25" s="212"/>
      <c r="FH25" s="212"/>
      <c r="FI25" s="212"/>
      <c r="FJ25" s="212"/>
      <c r="FK25"/>
      <c r="FL25"/>
      <c r="FM25"/>
      <c r="FN25"/>
      <c r="FO25"/>
      <c r="FP25"/>
      <c r="FQ25"/>
      <c r="FR25"/>
      <c r="FS25" s="217"/>
      <c r="FT25" s="226" t="s">
        <v>1745</v>
      </c>
      <c r="FU25" s="216" t="s">
        <v>1745</v>
      </c>
      <c r="FV25" s="230">
        <f>SUMIF(PLAN_201X!$B$2:$B$19,PLAN_201X!$B15,PLAN_201X!C$2:C$19)</f>
        <v>0</v>
      </c>
      <c r="FW25" s="230">
        <f>SUMIF(PLAN_201X!$B$2:$B$19,PLAN_201X!$B15,PLAN_201X!D$2:D$19)</f>
        <v>0</v>
      </c>
      <c r="FX25" s="230">
        <f>SUMIF(PLAN_201X!$B$2:$B$19,PLAN_201X!$B15,PLAN_201X!E$2:E$19)</f>
        <v>0</v>
      </c>
      <c r="FY25" s="217"/>
      <c r="FZ25" s="197"/>
    </row>
    <row r="26" spans="6:182" s="153" customFormat="1" ht="13.5" hidden="1" customHeight="1"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5"/>
      <c r="AB26" s="221" t="s">
        <v>1735</v>
      </c>
      <c r="AC26" s="221" t="str">
        <f t="shared" si="74"/>
        <v>Торф</v>
      </c>
      <c r="AD26" s="221" t="str">
        <f t="shared" si="69"/>
        <v>Торф :: ACTI</v>
      </c>
      <c r="AE26" s="213">
        <f t="shared" si="111"/>
        <v>0</v>
      </c>
      <c r="AF26" s="213">
        <f t="shared" si="112"/>
        <v>0</v>
      </c>
      <c r="AG26" s="213">
        <f t="shared" si="75"/>
        <v>0</v>
      </c>
      <c r="AH26" s="213">
        <f t="shared" si="76"/>
        <v>0</v>
      </c>
      <c r="AI26" s="213">
        <f t="shared" si="77"/>
        <v>0</v>
      </c>
      <c r="AJ26" s="213">
        <f t="shared" si="78"/>
        <v>0</v>
      </c>
      <c r="AK26" s="213">
        <f t="shared" si="79"/>
        <v>0</v>
      </c>
      <c r="AL26" s="213"/>
      <c r="AM26" s="213">
        <f t="shared" si="80"/>
        <v>0</v>
      </c>
      <c r="AN26" s="213">
        <f t="shared" si="80"/>
        <v>0</v>
      </c>
      <c r="AO26" s="213">
        <f t="shared" si="80"/>
        <v>0</v>
      </c>
      <c r="AP26" s="213"/>
      <c r="AQ26" s="213"/>
      <c r="AR26" s="213"/>
      <c r="AS26" s="213">
        <f t="shared" si="113"/>
        <v>0</v>
      </c>
      <c r="AT26" s="213">
        <f t="shared" si="114"/>
        <v>0</v>
      </c>
      <c r="AU26" s="213">
        <f t="shared" si="81"/>
        <v>0</v>
      </c>
      <c r="AV26" s="213">
        <f t="shared" si="81"/>
        <v>0</v>
      </c>
      <c r="AW26" s="213">
        <f t="shared" si="81"/>
        <v>0</v>
      </c>
      <c r="AX26" s="213">
        <f t="shared" si="115"/>
        <v>0</v>
      </c>
      <c r="AY26" s="213">
        <f t="shared" si="116"/>
        <v>0</v>
      </c>
      <c r="AZ26" s="213">
        <f t="shared" si="82"/>
        <v>0</v>
      </c>
      <c r="BA26" s="213">
        <f t="shared" si="82"/>
        <v>0</v>
      </c>
      <c r="BB26" s="213">
        <f t="shared" si="82"/>
        <v>0</v>
      </c>
      <c r="BC26" s="213">
        <f t="shared" si="117"/>
        <v>0</v>
      </c>
      <c r="BD26" s="213">
        <f t="shared" si="118"/>
        <v>0</v>
      </c>
      <c r="BE26" s="213">
        <f t="shared" si="83"/>
        <v>0</v>
      </c>
      <c r="BF26" s="213">
        <f t="shared" si="83"/>
        <v>0</v>
      </c>
      <c r="BG26" s="213">
        <f t="shared" si="83"/>
        <v>0</v>
      </c>
      <c r="BH26" s="212"/>
      <c r="BI26" s="212"/>
      <c r="BJ26" s="212"/>
      <c r="BK26" s="212"/>
      <c r="BL26" s="212"/>
      <c r="BM26" s="213">
        <f t="shared" si="119"/>
        <v>0</v>
      </c>
      <c r="BN26" s="213">
        <f t="shared" si="120"/>
        <v>0</v>
      </c>
      <c r="BO26" s="213">
        <f t="shared" si="84"/>
        <v>0</v>
      </c>
      <c r="BP26" s="213">
        <f t="shared" si="85"/>
        <v>0</v>
      </c>
      <c r="BQ26" s="213">
        <f t="shared" si="86"/>
        <v>0</v>
      </c>
      <c r="BR26" s="213">
        <f t="shared" si="87"/>
        <v>0</v>
      </c>
      <c r="BS26" s="213">
        <f t="shared" si="88"/>
        <v>0</v>
      </c>
      <c r="BT26" s="213"/>
      <c r="BU26" s="213">
        <f t="shared" si="89"/>
        <v>0</v>
      </c>
      <c r="BV26" s="213">
        <f t="shared" si="89"/>
        <v>0</v>
      </c>
      <c r="BW26" s="213">
        <f t="shared" si="89"/>
        <v>0</v>
      </c>
      <c r="BX26" s="213"/>
      <c r="BY26" s="213"/>
      <c r="BZ26" s="213"/>
      <c r="CA26" s="213">
        <f t="shared" si="121"/>
        <v>0</v>
      </c>
      <c r="CB26" s="213">
        <f t="shared" si="122"/>
        <v>0</v>
      </c>
      <c r="CC26" s="213">
        <f t="shared" si="90"/>
        <v>0</v>
      </c>
      <c r="CD26" s="213">
        <f t="shared" si="90"/>
        <v>0</v>
      </c>
      <c r="CE26" s="213">
        <f t="shared" si="90"/>
        <v>0</v>
      </c>
      <c r="CF26" s="213">
        <f t="shared" si="123"/>
        <v>0</v>
      </c>
      <c r="CG26" s="213">
        <f t="shared" si="124"/>
        <v>0</v>
      </c>
      <c r="CH26" s="213">
        <f t="shared" si="91"/>
        <v>0</v>
      </c>
      <c r="CI26" s="213">
        <f t="shared" si="91"/>
        <v>0</v>
      </c>
      <c r="CJ26" s="213">
        <f t="shared" si="91"/>
        <v>0</v>
      </c>
      <c r="CK26" s="213">
        <f t="shared" si="125"/>
        <v>0</v>
      </c>
      <c r="CL26" s="213">
        <f t="shared" si="126"/>
        <v>0</v>
      </c>
      <c r="CM26" s="213">
        <f t="shared" si="92"/>
        <v>0</v>
      </c>
      <c r="CN26" s="213">
        <f t="shared" si="92"/>
        <v>0</v>
      </c>
      <c r="CO26" s="213">
        <f t="shared" si="92"/>
        <v>0</v>
      </c>
      <c r="CP26" s="212"/>
      <c r="CQ26" s="212"/>
      <c r="CR26" s="212"/>
      <c r="CS26" s="212"/>
      <c r="CT26" s="212"/>
      <c r="CU26" s="213">
        <f t="shared" si="127"/>
        <v>0</v>
      </c>
      <c r="CV26" s="213">
        <f t="shared" si="128"/>
        <v>0</v>
      </c>
      <c r="CW26" s="213">
        <f t="shared" si="93"/>
        <v>0</v>
      </c>
      <c r="CX26" s="213">
        <f t="shared" si="94"/>
        <v>0</v>
      </c>
      <c r="CY26" s="213">
        <f t="shared" si="95"/>
        <v>0</v>
      </c>
      <c r="CZ26" s="213">
        <f t="shared" si="96"/>
        <v>0</v>
      </c>
      <c r="DA26" s="213">
        <f t="shared" si="97"/>
        <v>0</v>
      </c>
      <c r="DB26" s="213"/>
      <c r="DC26" s="213">
        <f t="shared" si="98"/>
        <v>0</v>
      </c>
      <c r="DD26" s="213">
        <f t="shared" si="98"/>
        <v>0</v>
      </c>
      <c r="DE26" s="213">
        <f t="shared" si="98"/>
        <v>0</v>
      </c>
      <c r="DF26" s="213"/>
      <c r="DG26" s="213"/>
      <c r="DH26" s="213"/>
      <c r="DI26" s="213">
        <f t="shared" si="129"/>
        <v>0</v>
      </c>
      <c r="DJ26" s="213">
        <f t="shared" si="130"/>
        <v>0</v>
      </c>
      <c r="DK26" s="213">
        <f t="shared" si="99"/>
        <v>0</v>
      </c>
      <c r="DL26" s="213">
        <f t="shared" si="99"/>
        <v>0</v>
      </c>
      <c r="DM26" s="213">
        <f t="shared" si="99"/>
        <v>0</v>
      </c>
      <c r="DN26" s="213">
        <f t="shared" si="131"/>
        <v>0</v>
      </c>
      <c r="DO26" s="213">
        <f t="shared" si="132"/>
        <v>0</v>
      </c>
      <c r="DP26" s="213">
        <f t="shared" si="100"/>
        <v>0</v>
      </c>
      <c r="DQ26" s="213">
        <f t="shared" si="100"/>
        <v>0</v>
      </c>
      <c r="DR26" s="213">
        <f t="shared" si="100"/>
        <v>0</v>
      </c>
      <c r="DS26" s="213">
        <f t="shared" si="133"/>
        <v>0</v>
      </c>
      <c r="DT26" s="213">
        <f t="shared" si="134"/>
        <v>0</v>
      </c>
      <c r="DU26" s="213">
        <f t="shared" si="101"/>
        <v>0</v>
      </c>
      <c r="DV26" s="213">
        <f t="shared" si="101"/>
        <v>0</v>
      </c>
      <c r="DW26" s="213">
        <f t="shared" si="101"/>
        <v>0</v>
      </c>
      <c r="DX26" s="212"/>
      <c r="DY26" s="212"/>
      <c r="DZ26" s="212"/>
      <c r="EA26" s="212"/>
      <c r="EB26" s="212"/>
      <c r="EC26" s="213">
        <f t="shared" si="135"/>
        <v>0</v>
      </c>
      <c r="ED26" s="213">
        <f t="shared" si="136"/>
        <v>0</v>
      </c>
      <c r="EE26" s="213">
        <f t="shared" si="102"/>
        <v>0</v>
      </c>
      <c r="EF26" s="213">
        <f t="shared" si="103"/>
        <v>0</v>
      </c>
      <c r="EG26" s="213">
        <f t="shared" si="104"/>
        <v>0</v>
      </c>
      <c r="EH26" s="213">
        <f t="shared" si="105"/>
        <v>0</v>
      </c>
      <c r="EI26" s="213">
        <f t="shared" si="106"/>
        <v>0</v>
      </c>
      <c r="EJ26" s="213"/>
      <c r="EK26" s="213">
        <f t="shared" si="107"/>
        <v>0</v>
      </c>
      <c r="EL26" s="213">
        <f t="shared" si="107"/>
        <v>0</v>
      </c>
      <c r="EM26" s="213">
        <f t="shared" si="107"/>
        <v>0</v>
      </c>
      <c r="EN26" s="213"/>
      <c r="EO26" s="213"/>
      <c r="EP26" s="213"/>
      <c r="EQ26" s="213">
        <f t="shared" si="137"/>
        <v>0</v>
      </c>
      <c r="ER26" s="213">
        <f t="shared" si="138"/>
        <v>0</v>
      </c>
      <c r="ES26" s="213">
        <f t="shared" si="108"/>
        <v>0</v>
      </c>
      <c r="ET26" s="213">
        <f t="shared" si="108"/>
        <v>0</v>
      </c>
      <c r="EU26" s="213">
        <f t="shared" si="108"/>
        <v>0</v>
      </c>
      <c r="EV26" s="213">
        <f t="shared" si="139"/>
        <v>0</v>
      </c>
      <c r="EW26" s="213">
        <f t="shared" si="140"/>
        <v>0</v>
      </c>
      <c r="EX26" s="213">
        <f t="shared" si="109"/>
        <v>0</v>
      </c>
      <c r="EY26" s="213">
        <f t="shared" si="109"/>
        <v>0</v>
      </c>
      <c r="EZ26" s="213">
        <f t="shared" si="109"/>
        <v>0</v>
      </c>
      <c r="FA26" s="213">
        <f t="shared" si="141"/>
        <v>0</v>
      </c>
      <c r="FB26" s="213">
        <f t="shared" si="142"/>
        <v>0</v>
      </c>
      <c r="FC26" s="213">
        <f t="shared" si="110"/>
        <v>0</v>
      </c>
      <c r="FD26" s="213">
        <f t="shared" si="110"/>
        <v>0</v>
      </c>
      <c r="FE26" s="213">
        <f t="shared" si="110"/>
        <v>0</v>
      </c>
      <c r="FF26" s="212"/>
      <c r="FG26" s="212"/>
      <c r="FH26" s="212"/>
      <c r="FI26" s="212"/>
      <c r="FJ26" s="212"/>
      <c r="FK26"/>
      <c r="FL26"/>
      <c r="FM26"/>
      <c r="FN26"/>
      <c r="FO26"/>
      <c r="FP26"/>
      <c r="FQ26"/>
      <c r="FR26"/>
      <c r="FS26" s="217"/>
      <c r="FT26" s="226" t="s">
        <v>1735</v>
      </c>
      <c r="FU26" s="216" t="s">
        <v>1735</v>
      </c>
      <c r="FV26" s="230">
        <f>SUMIF(PLAN_201X!$B$2:$B$19,PLAN_201X!$B16,PLAN_201X!C$2:C$19)</f>
        <v>0</v>
      </c>
      <c r="FW26" s="230">
        <f>SUMIF(PLAN_201X!$B$2:$B$19,PLAN_201X!$B16,PLAN_201X!D$2:D$19)</f>
        <v>0</v>
      </c>
      <c r="FX26" s="230">
        <f>SUMIF(PLAN_201X!$B$2:$B$19,PLAN_201X!$B16,PLAN_201X!E$2:E$19)</f>
        <v>0</v>
      </c>
      <c r="FY26" s="217"/>
      <c r="FZ26" s="197"/>
    </row>
    <row r="27" spans="6:182" s="153" customFormat="1" ht="13.5" hidden="1" customHeight="1"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5"/>
      <c r="AB27" s="221" t="s">
        <v>1734</v>
      </c>
      <c r="AC27" s="221" t="str">
        <f t="shared" si="74"/>
        <v>Сланцы</v>
      </c>
      <c r="AD27" s="221" t="str">
        <f t="shared" si="69"/>
        <v>Сланцы :: ACTI</v>
      </c>
      <c r="AE27" s="213">
        <f t="shared" si="111"/>
        <v>0</v>
      </c>
      <c r="AF27" s="213">
        <f t="shared" si="112"/>
        <v>0</v>
      </c>
      <c r="AG27" s="213">
        <f t="shared" si="75"/>
        <v>0</v>
      </c>
      <c r="AH27" s="213">
        <f t="shared" si="76"/>
        <v>0</v>
      </c>
      <c r="AI27" s="213">
        <f t="shared" si="77"/>
        <v>0</v>
      </c>
      <c r="AJ27" s="213">
        <f t="shared" si="78"/>
        <v>0</v>
      </c>
      <c r="AK27" s="213">
        <f t="shared" si="79"/>
        <v>0</v>
      </c>
      <c r="AL27" s="213"/>
      <c r="AM27" s="213">
        <f t="shared" si="80"/>
        <v>0</v>
      </c>
      <c r="AN27" s="213">
        <f t="shared" si="80"/>
        <v>0</v>
      </c>
      <c r="AO27" s="213">
        <f t="shared" si="80"/>
        <v>0</v>
      </c>
      <c r="AP27" s="213"/>
      <c r="AQ27" s="213"/>
      <c r="AR27" s="213"/>
      <c r="AS27" s="213">
        <f t="shared" si="113"/>
        <v>0</v>
      </c>
      <c r="AT27" s="213">
        <f t="shared" si="114"/>
        <v>0</v>
      </c>
      <c r="AU27" s="213">
        <f t="shared" si="81"/>
        <v>0</v>
      </c>
      <c r="AV27" s="213">
        <f t="shared" si="81"/>
        <v>0</v>
      </c>
      <c r="AW27" s="213">
        <f t="shared" si="81"/>
        <v>0</v>
      </c>
      <c r="AX27" s="213">
        <f t="shared" si="115"/>
        <v>0</v>
      </c>
      <c r="AY27" s="213">
        <f t="shared" si="116"/>
        <v>0</v>
      </c>
      <c r="AZ27" s="213">
        <f t="shared" si="82"/>
        <v>0</v>
      </c>
      <c r="BA27" s="213">
        <f t="shared" si="82"/>
        <v>0</v>
      </c>
      <c r="BB27" s="213">
        <f t="shared" si="82"/>
        <v>0</v>
      </c>
      <c r="BC27" s="213">
        <f t="shared" si="117"/>
        <v>0</v>
      </c>
      <c r="BD27" s="213">
        <f t="shared" si="118"/>
        <v>0</v>
      </c>
      <c r="BE27" s="213">
        <f t="shared" si="83"/>
        <v>0</v>
      </c>
      <c r="BF27" s="213">
        <f t="shared" si="83"/>
        <v>0</v>
      </c>
      <c r="BG27" s="213">
        <f t="shared" si="83"/>
        <v>0</v>
      </c>
      <c r="BH27" s="212"/>
      <c r="BI27" s="212"/>
      <c r="BJ27" s="212"/>
      <c r="BK27" s="212"/>
      <c r="BL27" s="212"/>
      <c r="BM27" s="213">
        <f t="shared" si="119"/>
        <v>0</v>
      </c>
      <c r="BN27" s="213">
        <f t="shared" si="120"/>
        <v>0</v>
      </c>
      <c r="BO27" s="213">
        <f t="shared" si="84"/>
        <v>0</v>
      </c>
      <c r="BP27" s="213">
        <f t="shared" si="85"/>
        <v>0</v>
      </c>
      <c r="BQ27" s="213">
        <f t="shared" si="86"/>
        <v>0</v>
      </c>
      <c r="BR27" s="213">
        <f t="shared" si="87"/>
        <v>0</v>
      </c>
      <c r="BS27" s="213">
        <f t="shared" si="88"/>
        <v>0</v>
      </c>
      <c r="BT27" s="213"/>
      <c r="BU27" s="213">
        <f t="shared" si="89"/>
        <v>0</v>
      </c>
      <c r="BV27" s="213">
        <f t="shared" si="89"/>
        <v>0</v>
      </c>
      <c r="BW27" s="213">
        <f t="shared" si="89"/>
        <v>0</v>
      </c>
      <c r="BX27" s="213"/>
      <c r="BY27" s="213"/>
      <c r="BZ27" s="213"/>
      <c r="CA27" s="213">
        <f t="shared" si="121"/>
        <v>0</v>
      </c>
      <c r="CB27" s="213">
        <f t="shared" si="122"/>
        <v>0</v>
      </c>
      <c r="CC27" s="213">
        <f t="shared" si="90"/>
        <v>0</v>
      </c>
      <c r="CD27" s="213">
        <f t="shared" si="90"/>
        <v>0</v>
      </c>
      <c r="CE27" s="213">
        <f t="shared" si="90"/>
        <v>0</v>
      </c>
      <c r="CF27" s="213">
        <f t="shared" si="123"/>
        <v>0</v>
      </c>
      <c r="CG27" s="213">
        <f t="shared" si="124"/>
        <v>0</v>
      </c>
      <c r="CH27" s="213">
        <f t="shared" si="91"/>
        <v>0</v>
      </c>
      <c r="CI27" s="213">
        <f t="shared" si="91"/>
        <v>0</v>
      </c>
      <c r="CJ27" s="213">
        <f t="shared" si="91"/>
        <v>0</v>
      </c>
      <c r="CK27" s="213">
        <f t="shared" si="125"/>
        <v>0</v>
      </c>
      <c r="CL27" s="213">
        <f t="shared" si="126"/>
        <v>0</v>
      </c>
      <c r="CM27" s="213">
        <f t="shared" si="92"/>
        <v>0</v>
      </c>
      <c r="CN27" s="213">
        <f t="shared" si="92"/>
        <v>0</v>
      </c>
      <c r="CO27" s="213">
        <f t="shared" si="92"/>
        <v>0</v>
      </c>
      <c r="CP27" s="212"/>
      <c r="CQ27" s="212"/>
      <c r="CR27" s="212"/>
      <c r="CS27" s="212"/>
      <c r="CT27" s="212"/>
      <c r="CU27" s="213">
        <f t="shared" si="127"/>
        <v>0</v>
      </c>
      <c r="CV27" s="213">
        <f t="shared" si="128"/>
        <v>0</v>
      </c>
      <c r="CW27" s="213">
        <f t="shared" si="93"/>
        <v>0</v>
      </c>
      <c r="CX27" s="213">
        <f t="shared" si="94"/>
        <v>0</v>
      </c>
      <c r="CY27" s="213">
        <f t="shared" si="95"/>
        <v>0</v>
      </c>
      <c r="CZ27" s="213">
        <f t="shared" si="96"/>
        <v>0</v>
      </c>
      <c r="DA27" s="213">
        <f t="shared" si="97"/>
        <v>0</v>
      </c>
      <c r="DB27" s="213"/>
      <c r="DC27" s="213">
        <f t="shared" si="98"/>
        <v>0</v>
      </c>
      <c r="DD27" s="213">
        <f t="shared" si="98"/>
        <v>0</v>
      </c>
      <c r="DE27" s="213">
        <f t="shared" si="98"/>
        <v>0</v>
      </c>
      <c r="DF27" s="213"/>
      <c r="DG27" s="213"/>
      <c r="DH27" s="213"/>
      <c r="DI27" s="213">
        <f t="shared" si="129"/>
        <v>0</v>
      </c>
      <c r="DJ27" s="213">
        <f t="shared" si="130"/>
        <v>0</v>
      </c>
      <c r="DK27" s="213">
        <f t="shared" si="99"/>
        <v>0</v>
      </c>
      <c r="DL27" s="213">
        <f t="shared" si="99"/>
        <v>0</v>
      </c>
      <c r="DM27" s="213">
        <f t="shared" si="99"/>
        <v>0</v>
      </c>
      <c r="DN27" s="213">
        <f t="shared" si="131"/>
        <v>0</v>
      </c>
      <c r="DO27" s="213">
        <f t="shared" si="132"/>
        <v>0</v>
      </c>
      <c r="DP27" s="213">
        <f t="shared" si="100"/>
        <v>0</v>
      </c>
      <c r="DQ27" s="213">
        <f t="shared" si="100"/>
        <v>0</v>
      </c>
      <c r="DR27" s="213">
        <f t="shared" si="100"/>
        <v>0</v>
      </c>
      <c r="DS27" s="213">
        <f t="shared" si="133"/>
        <v>0</v>
      </c>
      <c r="DT27" s="213">
        <f t="shared" si="134"/>
        <v>0</v>
      </c>
      <c r="DU27" s="213">
        <f t="shared" si="101"/>
        <v>0</v>
      </c>
      <c r="DV27" s="213">
        <f t="shared" si="101"/>
        <v>0</v>
      </c>
      <c r="DW27" s="213">
        <f t="shared" si="101"/>
        <v>0</v>
      </c>
      <c r="DX27" s="212"/>
      <c r="DY27" s="212"/>
      <c r="DZ27" s="212"/>
      <c r="EA27" s="212"/>
      <c r="EB27" s="212"/>
      <c r="EC27" s="213">
        <f t="shared" si="135"/>
        <v>0</v>
      </c>
      <c r="ED27" s="213">
        <f t="shared" si="136"/>
        <v>0</v>
      </c>
      <c r="EE27" s="213">
        <f t="shared" si="102"/>
        <v>0</v>
      </c>
      <c r="EF27" s="213">
        <f t="shared" si="103"/>
        <v>0</v>
      </c>
      <c r="EG27" s="213">
        <f t="shared" si="104"/>
        <v>0</v>
      </c>
      <c r="EH27" s="213">
        <f t="shared" si="105"/>
        <v>0</v>
      </c>
      <c r="EI27" s="213">
        <f t="shared" si="106"/>
        <v>0</v>
      </c>
      <c r="EJ27" s="213"/>
      <c r="EK27" s="213">
        <f t="shared" si="107"/>
        <v>0</v>
      </c>
      <c r="EL27" s="213">
        <f t="shared" si="107"/>
        <v>0</v>
      </c>
      <c r="EM27" s="213">
        <f t="shared" si="107"/>
        <v>0</v>
      </c>
      <c r="EN27" s="213"/>
      <c r="EO27" s="213"/>
      <c r="EP27" s="213"/>
      <c r="EQ27" s="213">
        <f t="shared" si="137"/>
        <v>0</v>
      </c>
      <c r="ER27" s="213">
        <f t="shared" si="138"/>
        <v>0</v>
      </c>
      <c r="ES27" s="213">
        <f t="shared" si="108"/>
        <v>0</v>
      </c>
      <c r="ET27" s="213">
        <f t="shared" si="108"/>
        <v>0</v>
      </c>
      <c r="EU27" s="213">
        <f t="shared" si="108"/>
        <v>0</v>
      </c>
      <c r="EV27" s="213">
        <f t="shared" si="139"/>
        <v>0</v>
      </c>
      <c r="EW27" s="213">
        <f t="shared" si="140"/>
        <v>0</v>
      </c>
      <c r="EX27" s="213">
        <f t="shared" si="109"/>
        <v>0</v>
      </c>
      <c r="EY27" s="213">
        <f t="shared" si="109"/>
        <v>0</v>
      </c>
      <c r="EZ27" s="213">
        <f t="shared" si="109"/>
        <v>0</v>
      </c>
      <c r="FA27" s="213">
        <f t="shared" si="141"/>
        <v>0</v>
      </c>
      <c r="FB27" s="213">
        <f t="shared" si="142"/>
        <v>0</v>
      </c>
      <c r="FC27" s="213">
        <f t="shared" si="110"/>
        <v>0</v>
      </c>
      <c r="FD27" s="213">
        <f t="shared" si="110"/>
        <v>0</v>
      </c>
      <c r="FE27" s="213">
        <f t="shared" si="110"/>
        <v>0</v>
      </c>
      <c r="FF27" s="212"/>
      <c r="FG27" s="212"/>
      <c r="FH27" s="212"/>
      <c r="FI27" s="212"/>
      <c r="FJ27" s="212"/>
      <c r="FK27"/>
      <c r="FL27"/>
      <c r="FM27"/>
      <c r="FN27"/>
      <c r="FO27"/>
      <c r="FP27"/>
      <c r="FQ27"/>
      <c r="FR27"/>
      <c r="FS27" s="217"/>
      <c r="FT27" s="226" t="s">
        <v>1734</v>
      </c>
      <c r="FU27" s="216" t="s">
        <v>1734</v>
      </c>
      <c r="FV27" s="230">
        <f>SUMIF(PLAN_201X!$B$2:$B$19,PLAN_201X!$B17,PLAN_201X!C$2:C$19)</f>
        <v>0</v>
      </c>
      <c r="FW27" s="230">
        <f>SUMIF(PLAN_201X!$B$2:$B$19,PLAN_201X!$B17,PLAN_201X!D$2:D$19)</f>
        <v>0</v>
      </c>
      <c r="FX27" s="230">
        <f>SUMIF(PLAN_201X!$B$2:$B$19,PLAN_201X!$B17,PLAN_201X!E$2:E$19)</f>
        <v>0</v>
      </c>
      <c r="FY27" s="217"/>
      <c r="FZ27" s="197"/>
    </row>
    <row r="28" spans="6:182" s="153" customFormat="1" ht="13.5" hidden="1" customHeight="1"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5"/>
      <c r="AB28" s="221" t="s">
        <v>1746</v>
      </c>
      <c r="AC28" s="221" t="str">
        <f t="shared" si="74"/>
        <v>Печное бытовое топливо</v>
      </c>
      <c r="AD28" s="221" t="str">
        <f t="shared" si="69"/>
        <v>Печное бытовое топливо :: ACTI</v>
      </c>
      <c r="AE28" s="213">
        <f t="shared" si="111"/>
        <v>0</v>
      </c>
      <c r="AF28" s="213">
        <f t="shared" si="112"/>
        <v>0</v>
      </c>
      <c r="AG28" s="213">
        <f t="shared" si="75"/>
        <v>0</v>
      </c>
      <c r="AH28" s="213">
        <f t="shared" si="76"/>
        <v>0</v>
      </c>
      <c r="AI28" s="213">
        <f t="shared" si="77"/>
        <v>0</v>
      </c>
      <c r="AJ28" s="213">
        <f t="shared" si="78"/>
        <v>0</v>
      </c>
      <c r="AK28" s="213">
        <f t="shared" si="79"/>
        <v>0</v>
      </c>
      <c r="AL28" s="213"/>
      <c r="AM28" s="213">
        <f t="shared" si="80"/>
        <v>0</v>
      </c>
      <c r="AN28" s="213">
        <f t="shared" si="80"/>
        <v>0</v>
      </c>
      <c r="AO28" s="213">
        <f t="shared" si="80"/>
        <v>0</v>
      </c>
      <c r="AP28" s="213"/>
      <c r="AQ28" s="213"/>
      <c r="AR28" s="213"/>
      <c r="AS28" s="213">
        <f t="shared" si="113"/>
        <v>0</v>
      </c>
      <c r="AT28" s="213">
        <f t="shared" si="114"/>
        <v>0</v>
      </c>
      <c r="AU28" s="213">
        <f t="shared" si="81"/>
        <v>0</v>
      </c>
      <c r="AV28" s="213">
        <f t="shared" si="81"/>
        <v>0</v>
      </c>
      <c r="AW28" s="213">
        <f t="shared" si="81"/>
        <v>0</v>
      </c>
      <c r="AX28" s="213">
        <f t="shared" si="115"/>
        <v>0</v>
      </c>
      <c r="AY28" s="213">
        <f t="shared" si="116"/>
        <v>0</v>
      </c>
      <c r="AZ28" s="213">
        <f t="shared" si="82"/>
        <v>0</v>
      </c>
      <c r="BA28" s="213">
        <f t="shared" si="82"/>
        <v>0</v>
      </c>
      <c r="BB28" s="213">
        <f t="shared" si="82"/>
        <v>0</v>
      </c>
      <c r="BC28" s="213">
        <f t="shared" si="117"/>
        <v>0</v>
      </c>
      <c r="BD28" s="213">
        <f t="shared" si="118"/>
        <v>0</v>
      </c>
      <c r="BE28" s="213">
        <f t="shared" si="83"/>
        <v>0</v>
      </c>
      <c r="BF28" s="213">
        <f t="shared" si="83"/>
        <v>0</v>
      </c>
      <c r="BG28" s="213">
        <f t="shared" si="83"/>
        <v>0</v>
      </c>
      <c r="BH28" s="212"/>
      <c r="BI28" s="212"/>
      <c r="BJ28" s="212"/>
      <c r="BK28" s="212"/>
      <c r="BL28" s="212"/>
      <c r="BM28" s="213">
        <f t="shared" si="119"/>
        <v>0</v>
      </c>
      <c r="BN28" s="213">
        <f t="shared" si="120"/>
        <v>0</v>
      </c>
      <c r="BO28" s="213">
        <f t="shared" si="84"/>
        <v>0</v>
      </c>
      <c r="BP28" s="213">
        <f t="shared" si="85"/>
        <v>0</v>
      </c>
      <c r="BQ28" s="213">
        <f t="shared" si="86"/>
        <v>0</v>
      </c>
      <c r="BR28" s="213">
        <f t="shared" si="87"/>
        <v>0</v>
      </c>
      <c r="BS28" s="213">
        <f t="shared" si="88"/>
        <v>0</v>
      </c>
      <c r="BT28" s="213"/>
      <c r="BU28" s="213">
        <f t="shared" si="89"/>
        <v>0</v>
      </c>
      <c r="BV28" s="213">
        <f t="shared" si="89"/>
        <v>0</v>
      </c>
      <c r="BW28" s="213">
        <f t="shared" si="89"/>
        <v>0</v>
      </c>
      <c r="BX28" s="213"/>
      <c r="BY28" s="213"/>
      <c r="BZ28" s="213"/>
      <c r="CA28" s="213">
        <f t="shared" si="121"/>
        <v>0</v>
      </c>
      <c r="CB28" s="213">
        <f t="shared" si="122"/>
        <v>0</v>
      </c>
      <c r="CC28" s="213">
        <f t="shared" si="90"/>
        <v>0</v>
      </c>
      <c r="CD28" s="213">
        <f t="shared" si="90"/>
        <v>0</v>
      </c>
      <c r="CE28" s="213">
        <f t="shared" si="90"/>
        <v>0</v>
      </c>
      <c r="CF28" s="213">
        <f t="shared" si="123"/>
        <v>0</v>
      </c>
      <c r="CG28" s="213">
        <f t="shared" si="124"/>
        <v>0</v>
      </c>
      <c r="CH28" s="213">
        <f t="shared" si="91"/>
        <v>0</v>
      </c>
      <c r="CI28" s="213">
        <f t="shared" si="91"/>
        <v>0</v>
      </c>
      <c r="CJ28" s="213">
        <f t="shared" si="91"/>
        <v>0</v>
      </c>
      <c r="CK28" s="213">
        <f t="shared" si="125"/>
        <v>0</v>
      </c>
      <c r="CL28" s="213">
        <f t="shared" si="126"/>
        <v>0</v>
      </c>
      <c r="CM28" s="213">
        <f t="shared" si="92"/>
        <v>0</v>
      </c>
      <c r="CN28" s="213">
        <f t="shared" si="92"/>
        <v>0</v>
      </c>
      <c r="CO28" s="213">
        <f t="shared" si="92"/>
        <v>0</v>
      </c>
      <c r="CP28" s="212"/>
      <c r="CQ28" s="212"/>
      <c r="CR28" s="212"/>
      <c r="CS28" s="212"/>
      <c r="CT28" s="212"/>
      <c r="CU28" s="213">
        <f t="shared" si="127"/>
        <v>0</v>
      </c>
      <c r="CV28" s="213">
        <f t="shared" si="128"/>
        <v>0</v>
      </c>
      <c r="CW28" s="213">
        <f t="shared" si="93"/>
        <v>0</v>
      </c>
      <c r="CX28" s="213">
        <f t="shared" si="94"/>
        <v>0</v>
      </c>
      <c r="CY28" s="213">
        <f t="shared" si="95"/>
        <v>0</v>
      </c>
      <c r="CZ28" s="213">
        <f t="shared" si="96"/>
        <v>0</v>
      </c>
      <c r="DA28" s="213">
        <f t="shared" si="97"/>
        <v>0</v>
      </c>
      <c r="DB28" s="213"/>
      <c r="DC28" s="213">
        <f t="shared" si="98"/>
        <v>0</v>
      </c>
      <c r="DD28" s="213">
        <f t="shared" si="98"/>
        <v>0</v>
      </c>
      <c r="DE28" s="213">
        <f t="shared" si="98"/>
        <v>0</v>
      </c>
      <c r="DF28" s="213"/>
      <c r="DG28" s="213"/>
      <c r="DH28" s="213"/>
      <c r="DI28" s="213">
        <f t="shared" si="129"/>
        <v>0</v>
      </c>
      <c r="DJ28" s="213">
        <f t="shared" si="130"/>
        <v>0</v>
      </c>
      <c r="DK28" s="213">
        <f t="shared" si="99"/>
        <v>0</v>
      </c>
      <c r="DL28" s="213">
        <f t="shared" si="99"/>
        <v>0</v>
      </c>
      <c r="DM28" s="213">
        <f t="shared" si="99"/>
        <v>0</v>
      </c>
      <c r="DN28" s="213">
        <f t="shared" si="131"/>
        <v>0</v>
      </c>
      <c r="DO28" s="213">
        <f t="shared" si="132"/>
        <v>0</v>
      </c>
      <c r="DP28" s="213">
        <f t="shared" si="100"/>
        <v>0</v>
      </c>
      <c r="DQ28" s="213">
        <f t="shared" si="100"/>
        <v>0</v>
      </c>
      <c r="DR28" s="213">
        <f t="shared" si="100"/>
        <v>0</v>
      </c>
      <c r="DS28" s="213">
        <f t="shared" si="133"/>
        <v>0</v>
      </c>
      <c r="DT28" s="213">
        <f t="shared" si="134"/>
        <v>0</v>
      </c>
      <c r="DU28" s="213">
        <f t="shared" si="101"/>
        <v>0</v>
      </c>
      <c r="DV28" s="213">
        <f t="shared" si="101"/>
        <v>0</v>
      </c>
      <c r="DW28" s="213">
        <f t="shared" si="101"/>
        <v>0</v>
      </c>
      <c r="DX28" s="212"/>
      <c r="DY28" s="212"/>
      <c r="DZ28" s="212"/>
      <c r="EA28" s="212"/>
      <c r="EB28" s="212"/>
      <c r="EC28" s="213">
        <f t="shared" si="135"/>
        <v>0</v>
      </c>
      <c r="ED28" s="213">
        <f t="shared" si="136"/>
        <v>0</v>
      </c>
      <c r="EE28" s="213">
        <f t="shared" si="102"/>
        <v>0</v>
      </c>
      <c r="EF28" s="213">
        <f t="shared" si="103"/>
        <v>0</v>
      </c>
      <c r="EG28" s="213">
        <f t="shared" si="104"/>
        <v>0</v>
      </c>
      <c r="EH28" s="213">
        <f t="shared" si="105"/>
        <v>0</v>
      </c>
      <c r="EI28" s="213">
        <f t="shared" si="106"/>
        <v>0</v>
      </c>
      <c r="EJ28" s="213"/>
      <c r="EK28" s="213">
        <f t="shared" si="107"/>
        <v>0</v>
      </c>
      <c r="EL28" s="213">
        <f t="shared" si="107"/>
        <v>0</v>
      </c>
      <c r="EM28" s="213">
        <f t="shared" si="107"/>
        <v>0</v>
      </c>
      <c r="EN28" s="213"/>
      <c r="EO28" s="213"/>
      <c r="EP28" s="213"/>
      <c r="EQ28" s="213">
        <f t="shared" si="137"/>
        <v>0</v>
      </c>
      <c r="ER28" s="213">
        <f t="shared" si="138"/>
        <v>0</v>
      </c>
      <c r="ES28" s="213">
        <f t="shared" si="108"/>
        <v>0</v>
      </c>
      <c r="ET28" s="213">
        <f t="shared" si="108"/>
        <v>0</v>
      </c>
      <c r="EU28" s="213">
        <f t="shared" si="108"/>
        <v>0</v>
      </c>
      <c r="EV28" s="213">
        <f t="shared" si="139"/>
        <v>0</v>
      </c>
      <c r="EW28" s="213">
        <f t="shared" si="140"/>
        <v>0</v>
      </c>
      <c r="EX28" s="213">
        <f t="shared" si="109"/>
        <v>0</v>
      </c>
      <c r="EY28" s="213">
        <f t="shared" si="109"/>
        <v>0</v>
      </c>
      <c r="EZ28" s="213">
        <f t="shared" si="109"/>
        <v>0</v>
      </c>
      <c r="FA28" s="213">
        <f t="shared" si="141"/>
        <v>0</v>
      </c>
      <c r="FB28" s="213">
        <f t="shared" si="142"/>
        <v>0</v>
      </c>
      <c r="FC28" s="213">
        <f t="shared" si="110"/>
        <v>0</v>
      </c>
      <c r="FD28" s="213">
        <f t="shared" si="110"/>
        <v>0</v>
      </c>
      <c r="FE28" s="213">
        <f t="shared" si="110"/>
        <v>0</v>
      </c>
      <c r="FF28" s="212"/>
      <c r="FG28" s="212"/>
      <c r="FH28" s="212"/>
      <c r="FI28" s="212"/>
      <c r="FJ28" s="212"/>
      <c r="FK28"/>
      <c r="FL28"/>
      <c r="FM28"/>
      <c r="FN28"/>
      <c r="FO28"/>
      <c r="FP28"/>
      <c r="FQ28"/>
      <c r="FR28"/>
      <c r="FS28" s="217"/>
      <c r="FT28" s="226" t="s">
        <v>1746</v>
      </c>
      <c r="FU28" s="216" t="s">
        <v>1746</v>
      </c>
      <c r="FV28" s="230">
        <f>SUMIF(PLAN_201X!$B$2:$B$19,PLAN_201X!$B18,PLAN_201X!C$2:C$19)</f>
        <v>0</v>
      </c>
      <c r="FW28" s="230">
        <f>SUMIF(PLAN_201X!$B$2:$B$19,PLAN_201X!$B18,PLAN_201X!D$2:D$19)</f>
        <v>0</v>
      </c>
      <c r="FX28" s="230">
        <f>SUMIF(PLAN_201X!$B$2:$B$19,PLAN_201X!$B18,PLAN_201X!E$2:E$19)</f>
        <v>0</v>
      </c>
      <c r="FY28" s="217"/>
      <c r="FZ28" s="197"/>
    </row>
    <row r="29" spans="6:182" s="153" customFormat="1" ht="13.5" hidden="1" customHeight="1"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5"/>
      <c r="AB29" s="221" t="s">
        <v>1747</v>
      </c>
      <c r="AC29" s="221" t="str">
        <f>AB29</f>
        <v>Прочие виды топлива</v>
      </c>
      <c r="AD29" s="221" t="str">
        <f t="shared" si="69"/>
        <v>Прочие виды топлива :: ACTI</v>
      </c>
      <c r="AE29" s="213">
        <f t="shared" si="111"/>
        <v>0</v>
      </c>
      <c r="AF29" s="213">
        <f t="shared" si="112"/>
        <v>0</v>
      </c>
      <c r="AG29" s="213">
        <f t="shared" si="75"/>
        <v>0</v>
      </c>
      <c r="AH29" s="213">
        <f t="shared" si="76"/>
        <v>0</v>
      </c>
      <c r="AI29" s="213">
        <f t="shared" si="77"/>
        <v>0</v>
      </c>
      <c r="AJ29" s="213">
        <f t="shared" si="78"/>
        <v>0</v>
      </c>
      <c r="AK29" s="213">
        <f t="shared" si="79"/>
        <v>0</v>
      </c>
      <c r="AL29" s="213"/>
      <c r="AM29" s="213">
        <f t="shared" si="80"/>
        <v>0</v>
      </c>
      <c r="AN29" s="213">
        <f t="shared" si="80"/>
        <v>0</v>
      </c>
      <c r="AO29" s="213">
        <f t="shared" si="80"/>
        <v>0</v>
      </c>
      <c r="AP29" s="213"/>
      <c r="AQ29" s="213"/>
      <c r="AR29" s="213"/>
      <c r="AS29" s="213">
        <f t="shared" si="113"/>
        <v>0</v>
      </c>
      <c r="AT29" s="213">
        <f t="shared" si="114"/>
        <v>0</v>
      </c>
      <c r="AU29" s="213">
        <f t="shared" si="81"/>
        <v>0</v>
      </c>
      <c r="AV29" s="213">
        <f t="shared" si="81"/>
        <v>0</v>
      </c>
      <c r="AW29" s="213">
        <f t="shared" si="81"/>
        <v>0</v>
      </c>
      <c r="AX29" s="213">
        <f t="shared" si="115"/>
        <v>0</v>
      </c>
      <c r="AY29" s="213">
        <f t="shared" si="116"/>
        <v>0</v>
      </c>
      <c r="AZ29" s="213">
        <f t="shared" si="82"/>
        <v>0</v>
      </c>
      <c r="BA29" s="213">
        <f t="shared" si="82"/>
        <v>0</v>
      </c>
      <c r="BB29" s="213">
        <f t="shared" si="82"/>
        <v>0</v>
      </c>
      <c r="BC29" s="213">
        <f t="shared" si="117"/>
        <v>0</v>
      </c>
      <c r="BD29" s="213">
        <f t="shared" si="118"/>
        <v>0</v>
      </c>
      <c r="BE29" s="213">
        <f t="shared" si="83"/>
        <v>0</v>
      </c>
      <c r="BF29" s="213">
        <f t="shared" si="83"/>
        <v>0</v>
      </c>
      <c r="BG29" s="213">
        <f t="shared" si="83"/>
        <v>0</v>
      </c>
      <c r="BH29" s="212"/>
      <c r="BI29" s="212"/>
      <c r="BJ29" s="212"/>
      <c r="BK29" s="212"/>
      <c r="BL29" s="212"/>
      <c r="BM29" s="213">
        <f t="shared" si="119"/>
        <v>0</v>
      </c>
      <c r="BN29" s="213">
        <f t="shared" si="120"/>
        <v>0</v>
      </c>
      <c r="BO29" s="213">
        <f t="shared" si="84"/>
        <v>0</v>
      </c>
      <c r="BP29" s="213">
        <f t="shared" si="85"/>
        <v>0</v>
      </c>
      <c r="BQ29" s="213">
        <f t="shared" si="86"/>
        <v>0</v>
      </c>
      <c r="BR29" s="213">
        <f t="shared" si="87"/>
        <v>0</v>
      </c>
      <c r="BS29" s="213">
        <f t="shared" si="88"/>
        <v>0</v>
      </c>
      <c r="BT29" s="213"/>
      <c r="BU29" s="213">
        <f t="shared" si="89"/>
        <v>0</v>
      </c>
      <c r="BV29" s="213">
        <f t="shared" si="89"/>
        <v>0</v>
      </c>
      <c r="BW29" s="213">
        <f t="shared" si="89"/>
        <v>0</v>
      </c>
      <c r="BX29" s="213"/>
      <c r="BY29" s="213"/>
      <c r="BZ29" s="213"/>
      <c r="CA29" s="213">
        <f t="shared" si="121"/>
        <v>0</v>
      </c>
      <c r="CB29" s="213">
        <f t="shared" si="122"/>
        <v>0</v>
      </c>
      <c r="CC29" s="213">
        <f t="shared" si="90"/>
        <v>0</v>
      </c>
      <c r="CD29" s="213">
        <f t="shared" si="90"/>
        <v>0</v>
      </c>
      <c r="CE29" s="213">
        <f t="shared" si="90"/>
        <v>0</v>
      </c>
      <c r="CF29" s="213">
        <f t="shared" si="123"/>
        <v>0</v>
      </c>
      <c r="CG29" s="213">
        <f t="shared" si="124"/>
        <v>0</v>
      </c>
      <c r="CH29" s="213">
        <f t="shared" si="91"/>
        <v>0</v>
      </c>
      <c r="CI29" s="213">
        <f t="shared" si="91"/>
        <v>0</v>
      </c>
      <c r="CJ29" s="213">
        <f t="shared" si="91"/>
        <v>0</v>
      </c>
      <c r="CK29" s="213">
        <f t="shared" si="125"/>
        <v>0</v>
      </c>
      <c r="CL29" s="213">
        <f t="shared" si="126"/>
        <v>0</v>
      </c>
      <c r="CM29" s="213">
        <f t="shared" si="92"/>
        <v>0</v>
      </c>
      <c r="CN29" s="213">
        <f t="shared" si="92"/>
        <v>0</v>
      </c>
      <c r="CO29" s="213">
        <f t="shared" si="92"/>
        <v>0</v>
      </c>
      <c r="CP29" s="212"/>
      <c r="CQ29" s="212"/>
      <c r="CR29" s="212"/>
      <c r="CS29" s="212"/>
      <c r="CT29" s="212"/>
      <c r="CU29" s="213">
        <f t="shared" si="127"/>
        <v>0</v>
      </c>
      <c r="CV29" s="213">
        <f t="shared" si="128"/>
        <v>0</v>
      </c>
      <c r="CW29" s="213">
        <f t="shared" si="93"/>
        <v>0</v>
      </c>
      <c r="CX29" s="213">
        <f t="shared" si="94"/>
        <v>0</v>
      </c>
      <c r="CY29" s="213">
        <f t="shared" si="95"/>
        <v>0</v>
      </c>
      <c r="CZ29" s="213">
        <f t="shared" si="96"/>
        <v>0</v>
      </c>
      <c r="DA29" s="213">
        <f t="shared" si="97"/>
        <v>0</v>
      </c>
      <c r="DB29" s="213"/>
      <c r="DC29" s="213">
        <f t="shared" si="98"/>
        <v>0</v>
      </c>
      <c r="DD29" s="213">
        <f t="shared" si="98"/>
        <v>0</v>
      </c>
      <c r="DE29" s="213">
        <f t="shared" si="98"/>
        <v>0</v>
      </c>
      <c r="DF29" s="213"/>
      <c r="DG29" s="213"/>
      <c r="DH29" s="213"/>
      <c r="DI29" s="213">
        <f t="shared" si="129"/>
        <v>0</v>
      </c>
      <c r="DJ29" s="213">
        <f t="shared" si="130"/>
        <v>0</v>
      </c>
      <c r="DK29" s="213">
        <f t="shared" si="99"/>
        <v>0</v>
      </c>
      <c r="DL29" s="213">
        <f t="shared" si="99"/>
        <v>0</v>
      </c>
      <c r="DM29" s="213">
        <f t="shared" si="99"/>
        <v>0</v>
      </c>
      <c r="DN29" s="213">
        <f t="shared" si="131"/>
        <v>0</v>
      </c>
      <c r="DO29" s="213">
        <f t="shared" si="132"/>
        <v>0</v>
      </c>
      <c r="DP29" s="213">
        <f t="shared" si="100"/>
        <v>0</v>
      </c>
      <c r="DQ29" s="213">
        <f t="shared" si="100"/>
        <v>0</v>
      </c>
      <c r="DR29" s="213">
        <f t="shared" si="100"/>
        <v>0</v>
      </c>
      <c r="DS29" s="213">
        <f t="shared" si="133"/>
        <v>0</v>
      </c>
      <c r="DT29" s="213">
        <f t="shared" si="134"/>
        <v>0</v>
      </c>
      <c r="DU29" s="213">
        <f t="shared" si="101"/>
        <v>0</v>
      </c>
      <c r="DV29" s="213">
        <f t="shared" si="101"/>
        <v>0</v>
      </c>
      <c r="DW29" s="213">
        <f t="shared" si="101"/>
        <v>0</v>
      </c>
      <c r="DX29" s="212"/>
      <c r="DY29" s="212"/>
      <c r="DZ29" s="212"/>
      <c r="EA29" s="212"/>
      <c r="EB29" s="212"/>
      <c r="EC29" s="213">
        <f t="shared" si="135"/>
        <v>0</v>
      </c>
      <c r="ED29" s="213">
        <f t="shared" si="136"/>
        <v>0</v>
      </c>
      <c r="EE29" s="213">
        <f t="shared" si="102"/>
        <v>0</v>
      </c>
      <c r="EF29" s="213">
        <f t="shared" si="103"/>
        <v>0</v>
      </c>
      <c r="EG29" s="213">
        <f t="shared" si="104"/>
        <v>0</v>
      </c>
      <c r="EH29" s="213">
        <f t="shared" si="105"/>
        <v>0</v>
      </c>
      <c r="EI29" s="213">
        <f t="shared" si="106"/>
        <v>0</v>
      </c>
      <c r="EJ29" s="213"/>
      <c r="EK29" s="213">
        <f t="shared" si="107"/>
        <v>0</v>
      </c>
      <c r="EL29" s="213">
        <f t="shared" si="107"/>
        <v>0</v>
      </c>
      <c r="EM29" s="213">
        <f t="shared" si="107"/>
        <v>0</v>
      </c>
      <c r="EN29" s="213"/>
      <c r="EO29" s="213"/>
      <c r="EP29" s="213"/>
      <c r="EQ29" s="213">
        <f t="shared" si="137"/>
        <v>0</v>
      </c>
      <c r="ER29" s="213">
        <f t="shared" si="138"/>
        <v>0</v>
      </c>
      <c r="ES29" s="213">
        <f t="shared" si="108"/>
        <v>0</v>
      </c>
      <c r="ET29" s="213">
        <f t="shared" si="108"/>
        <v>0</v>
      </c>
      <c r="EU29" s="213">
        <f t="shared" si="108"/>
        <v>0</v>
      </c>
      <c r="EV29" s="213">
        <f t="shared" si="139"/>
        <v>0</v>
      </c>
      <c r="EW29" s="213">
        <f t="shared" si="140"/>
        <v>0</v>
      </c>
      <c r="EX29" s="213">
        <f t="shared" si="109"/>
        <v>0</v>
      </c>
      <c r="EY29" s="213">
        <f t="shared" si="109"/>
        <v>0</v>
      </c>
      <c r="EZ29" s="213">
        <f t="shared" si="109"/>
        <v>0</v>
      </c>
      <c r="FA29" s="213">
        <f t="shared" si="141"/>
        <v>0</v>
      </c>
      <c r="FB29" s="213">
        <f t="shared" si="142"/>
        <v>0</v>
      </c>
      <c r="FC29" s="213">
        <f t="shared" si="110"/>
        <v>0</v>
      </c>
      <c r="FD29" s="213">
        <f t="shared" si="110"/>
        <v>0</v>
      </c>
      <c r="FE29" s="213">
        <f t="shared" si="110"/>
        <v>0</v>
      </c>
      <c r="FF29" s="212"/>
      <c r="FG29" s="212"/>
      <c r="FH29" s="212"/>
      <c r="FI29" s="212"/>
      <c r="FJ29" s="212"/>
      <c r="FK29"/>
      <c r="FL29"/>
      <c r="FM29"/>
      <c r="FN29"/>
      <c r="FO29"/>
      <c r="FP29"/>
      <c r="FQ29"/>
      <c r="FR29"/>
      <c r="FS29" s="217"/>
      <c r="FT29" s="226" t="s">
        <v>1747</v>
      </c>
      <c r="FU29" s="216" t="s">
        <v>1747</v>
      </c>
      <c r="FV29" s="214"/>
      <c r="FW29" s="214"/>
      <c r="FX29" s="230">
        <f>SUMIF(PLAN_201X!$B$2:$B$19,PLAN_201X!$B19,PLAN_201X!E$2:E$19)</f>
        <v>0</v>
      </c>
      <c r="FY29" s="217"/>
      <c r="FZ29" s="197"/>
    </row>
    <row r="30" spans="6:182" s="153" customFormat="1" ht="13.5" hidden="1" customHeight="1"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5"/>
      <c r="AB30" s="157"/>
      <c r="AC30" s="158"/>
      <c r="AD30" s="159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0"/>
      <c r="BM30" s="147"/>
      <c r="BN30" s="147"/>
      <c r="BO30" s="147"/>
      <c r="BP30" s="147"/>
      <c r="BQ30" s="147"/>
      <c r="BR30" s="147"/>
      <c r="BS30" s="147"/>
      <c r="BT30" s="147"/>
      <c r="BU30" s="161"/>
      <c r="BV30" s="161"/>
      <c r="BW30" s="161"/>
      <c r="BX30" s="161"/>
      <c r="BY30" s="161"/>
      <c r="BZ30" s="161"/>
      <c r="CA30" s="161"/>
      <c r="CB30" s="161"/>
      <c r="CC30" s="161"/>
      <c r="CD30" s="161"/>
      <c r="CE30" s="161"/>
      <c r="CF30" s="161"/>
      <c r="CG30" s="161"/>
      <c r="CH30" s="161"/>
      <c r="CI30" s="161"/>
      <c r="CJ30" s="161"/>
      <c r="CK30" s="161"/>
      <c r="CL30" s="161"/>
      <c r="CM30" s="161"/>
      <c r="CN30" s="161"/>
      <c r="CO30" s="161"/>
      <c r="CP30" s="161"/>
      <c r="CQ30" s="161"/>
      <c r="CR30" s="161"/>
      <c r="CS30" s="161"/>
      <c r="CT30" s="161"/>
      <c r="CU30" s="161"/>
      <c r="CV30" s="161"/>
      <c r="CW30" s="161"/>
      <c r="CX30" s="161"/>
      <c r="CY30" s="161"/>
      <c r="CZ30" s="161"/>
      <c r="DA30" s="161"/>
      <c r="DB30" s="161"/>
      <c r="DC30" s="161"/>
      <c r="DD30" s="161"/>
      <c r="DE30" s="161"/>
      <c r="DF30" s="161"/>
      <c r="DG30" s="161"/>
      <c r="DH30" s="161"/>
      <c r="DI30" s="161"/>
      <c r="DJ30" s="161"/>
      <c r="DK30" s="161"/>
      <c r="DL30" s="161"/>
      <c r="DM30" s="161"/>
      <c r="DN30" s="161"/>
      <c r="DO30" s="161"/>
      <c r="DP30" s="161"/>
      <c r="DQ30" s="161"/>
      <c r="DR30" s="161"/>
      <c r="DS30" s="161"/>
      <c r="DT30" s="161"/>
      <c r="DU30" s="161"/>
      <c r="DV30" s="161"/>
      <c r="DW30" s="161"/>
      <c r="DX30" s="147"/>
      <c r="DY30" s="147"/>
      <c r="DZ30" s="147"/>
      <c r="EA30" s="147"/>
      <c r="EB30" s="147"/>
      <c r="EC30" s="161"/>
      <c r="ED30" s="161"/>
      <c r="EE30" s="161"/>
      <c r="EF30" s="161"/>
      <c r="EG30" s="161"/>
      <c r="EH30" s="161"/>
      <c r="EI30" s="161"/>
      <c r="EJ30" s="161"/>
      <c r="EK30" s="161"/>
      <c r="EL30" s="161"/>
      <c r="EM30" s="161"/>
      <c r="EN30" s="161"/>
      <c r="EO30" s="161"/>
      <c r="EP30" s="161"/>
      <c r="EQ30" s="161"/>
      <c r="ER30" s="161"/>
      <c r="ES30" s="161"/>
      <c r="ET30" s="161"/>
      <c r="EU30" s="161"/>
      <c r="EV30" s="161"/>
      <c r="EW30" s="161"/>
      <c r="EX30" s="161"/>
      <c r="EY30" s="161"/>
      <c r="EZ30" s="161"/>
      <c r="FA30" s="161"/>
      <c r="FB30" s="161"/>
      <c r="FC30" s="161"/>
      <c r="FD30" s="161"/>
      <c r="FE30" s="161"/>
      <c r="FF30" s="147"/>
      <c r="FG30" s="147"/>
      <c r="FH30" s="147"/>
      <c r="FI30" s="147"/>
      <c r="FJ30" s="147"/>
      <c r="FK30"/>
      <c r="FL30"/>
      <c r="FM30"/>
      <c r="FN30"/>
      <c r="FO30"/>
      <c r="FP30"/>
      <c r="FQ30"/>
      <c r="FR30"/>
      <c r="FS30" s="217"/>
      <c r="FT30" s="217"/>
      <c r="FU30" s="217"/>
      <c r="FV30" s="217"/>
      <c r="FW30" s="235"/>
      <c r="FX30" s="217"/>
      <c r="FY30" s="217"/>
      <c r="FZ30" s="154"/>
    </row>
    <row r="31" spans="6:182" s="153" customFormat="1" ht="13.5" hidden="1" customHeight="1"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5"/>
      <c r="AB31" s="157"/>
      <c r="AC31" s="158"/>
      <c r="AD31" s="159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  <c r="BJ31" s="160"/>
      <c r="BK31" s="160"/>
      <c r="BL31" s="160"/>
      <c r="BM31" s="147"/>
      <c r="BN31" s="147"/>
      <c r="BO31" s="147"/>
      <c r="BP31" s="147"/>
      <c r="BQ31" s="147"/>
      <c r="BR31" s="147"/>
      <c r="BS31" s="147"/>
      <c r="BT31" s="147"/>
      <c r="BU31" s="161"/>
      <c r="BV31" s="161"/>
      <c r="BW31" s="161"/>
      <c r="BX31" s="161"/>
      <c r="BY31" s="161"/>
      <c r="BZ31" s="161"/>
      <c r="CA31" s="161"/>
      <c r="CB31" s="161"/>
      <c r="CC31" s="161"/>
      <c r="CD31" s="161"/>
      <c r="CE31" s="161"/>
      <c r="CF31" s="161"/>
      <c r="CG31" s="161"/>
      <c r="CH31" s="161"/>
      <c r="CI31" s="161"/>
      <c r="CJ31" s="161"/>
      <c r="CK31" s="161"/>
      <c r="CL31" s="161"/>
      <c r="CM31" s="161"/>
      <c r="CN31" s="161"/>
      <c r="CO31" s="161"/>
      <c r="CP31" s="161"/>
      <c r="CQ31" s="161"/>
      <c r="CR31" s="161"/>
      <c r="CS31" s="161"/>
      <c r="CT31" s="161"/>
      <c r="CU31" s="161"/>
      <c r="CV31" s="161"/>
      <c r="CW31" s="161"/>
      <c r="CX31" s="161"/>
      <c r="CY31" s="161"/>
      <c r="CZ31" s="161"/>
      <c r="DA31" s="161"/>
      <c r="DB31" s="161"/>
      <c r="DC31" s="161"/>
      <c r="DD31" s="161"/>
      <c r="DE31" s="161"/>
      <c r="DF31" s="161"/>
      <c r="DG31" s="161"/>
      <c r="DH31" s="161"/>
      <c r="DI31" s="161"/>
      <c r="DJ31" s="161"/>
      <c r="DK31" s="161"/>
      <c r="DL31" s="161"/>
      <c r="DM31" s="161"/>
      <c r="DN31" s="161"/>
      <c r="DO31" s="161"/>
      <c r="DP31" s="161"/>
      <c r="DQ31" s="161"/>
      <c r="DR31" s="161"/>
      <c r="DS31" s="161"/>
      <c r="DT31" s="161"/>
      <c r="DU31" s="161"/>
      <c r="DV31" s="161"/>
      <c r="DW31" s="161"/>
      <c r="DX31" s="147"/>
      <c r="DY31" s="147"/>
      <c r="DZ31" s="147"/>
      <c r="EA31" s="147"/>
      <c r="EB31" s="147"/>
      <c r="EC31" s="161"/>
      <c r="ED31" s="161"/>
      <c r="EE31" s="161"/>
      <c r="EF31" s="161"/>
      <c r="EG31" s="161"/>
      <c r="EH31" s="161"/>
      <c r="EI31" s="161"/>
      <c r="EJ31" s="161"/>
      <c r="EK31" s="161"/>
      <c r="EL31" s="161"/>
      <c r="EM31" s="161"/>
      <c r="EN31" s="161"/>
      <c r="EO31" s="161"/>
      <c r="EP31" s="161"/>
      <c r="EQ31" s="161"/>
      <c r="ER31" s="161"/>
      <c r="ES31" s="161"/>
      <c r="ET31" s="161"/>
      <c r="EU31" s="161"/>
      <c r="EV31" s="161"/>
      <c r="EW31" s="161"/>
      <c r="EX31" s="161"/>
      <c r="EY31" s="161"/>
      <c r="EZ31" s="161"/>
      <c r="FA31" s="161"/>
      <c r="FB31" s="161"/>
      <c r="FC31" s="161"/>
      <c r="FD31" s="161"/>
      <c r="FE31" s="161"/>
      <c r="FF31" s="147"/>
      <c r="FG31" s="147"/>
      <c r="FH31" s="147"/>
      <c r="FI31" s="147"/>
      <c r="FJ31" s="147"/>
      <c r="FK31" s="154"/>
      <c r="FL31" s="154"/>
      <c r="FM31" s="154"/>
      <c r="FN31" s="154"/>
      <c r="FO31" s="154"/>
      <c r="FP31" s="154"/>
      <c r="FQ31" s="154"/>
      <c r="FR31" s="154"/>
      <c r="FS31" s="217"/>
      <c r="FT31" s="217"/>
      <c r="FU31" s="217"/>
      <c r="FV31" s="217"/>
      <c r="FW31" s="235"/>
      <c r="FX31" s="217"/>
      <c r="FY31" s="217"/>
      <c r="FZ31" s="154"/>
    </row>
    <row r="32" spans="6:182" s="153" customFormat="1" ht="13.5" hidden="1" customHeight="1"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5"/>
      <c r="AB32" s="157"/>
      <c r="AC32" s="158"/>
      <c r="AD32" s="159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0"/>
      <c r="BK32" s="160"/>
      <c r="BL32" s="160"/>
      <c r="BM32" s="147"/>
      <c r="BN32" s="147"/>
      <c r="BO32" s="147"/>
      <c r="BP32" s="147"/>
      <c r="BQ32" s="147"/>
      <c r="BR32" s="147"/>
      <c r="BS32" s="147"/>
      <c r="BT32" s="147"/>
      <c r="BU32" s="161"/>
      <c r="BV32" s="161"/>
      <c r="BW32" s="161"/>
      <c r="BX32" s="161"/>
      <c r="BY32" s="161"/>
      <c r="BZ32" s="161"/>
      <c r="CA32" s="161"/>
      <c r="CB32" s="161"/>
      <c r="CC32" s="161"/>
      <c r="CD32" s="161"/>
      <c r="CE32" s="161"/>
      <c r="CF32" s="161"/>
      <c r="CG32" s="161"/>
      <c r="CH32" s="161"/>
      <c r="CI32" s="161"/>
      <c r="CJ32" s="161"/>
      <c r="CK32" s="161"/>
      <c r="CL32" s="161"/>
      <c r="CM32" s="161"/>
      <c r="CN32" s="161"/>
      <c r="CO32" s="161"/>
      <c r="CP32" s="161"/>
      <c r="CQ32" s="161"/>
      <c r="CR32" s="161"/>
      <c r="CS32" s="161"/>
      <c r="CT32" s="161"/>
      <c r="CU32" s="161"/>
      <c r="CV32" s="161"/>
      <c r="CW32" s="161"/>
      <c r="CX32" s="161"/>
      <c r="CY32" s="161"/>
      <c r="CZ32" s="161"/>
      <c r="DA32" s="161"/>
      <c r="DB32" s="161"/>
      <c r="DC32" s="161"/>
      <c r="DD32" s="161"/>
      <c r="DE32" s="161"/>
      <c r="DF32" s="161"/>
      <c r="DG32" s="161"/>
      <c r="DH32" s="161"/>
      <c r="DI32" s="161"/>
      <c r="DJ32" s="161"/>
      <c r="DK32" s="161"/>
      <c r="DL32" s="161"/>
      <c r="DM32" s="161"/>
      <c r="DN32" s="161"/>
      <c r="DO32" s="161"/>
      <c r="DP32" s="161"/>
      <c r="DQ32" s="161"/>
      <c r="DR32" s="161"/>
      <c r="DS32" s="161"/>
      <c r="DT32" s="161"/>
      <c r="DU32" s="161"/>
      <c r="DV32" s="161"/>
      <c r="DW32" s="161"/>
      <c r="DX32" s="147"/>
      <c r="DY32" s="147"/>
      <c r="DZ32" s="147"/>
      <c r="EA32" s="147"/>
      <c r="EB32" s="147"/>
      <c r="EC32" s="161"/>
      <c r="ED32" s="161"/>
      <c r="EE32" s="161"/>
      <c r="EF32" s="161"/>
      <c r="EG32" s="161"/>
      <c r="EH32" s="161"/>
      <c r="EI32" s="161"/>
      <c r="EJ32" s="161"/>
      <c r="EK32" s="161"/>
      <c r="EL32" s="161"/>
      <c r="EM32" s="161"/>
      <c r="EN32" s="161"/>
      <c r="EO32" s="161"/>
      <c r="EP32" s="161"/>
      <c r="EQ32" s="161"/>
      <c r="ER32" s="161"/>
      <c r="ES32" s="161"/>
      <c r="ET32" s="161"/>
      <c r="EU32" s="161"/>
      <c r="EV32" s="161"/>
      <c r="EW32" s="161"/>
      <c r="EX32" s="161"/>
      <c r="EY32" s="161"/>
      <c r="EZ32" s="161"/>
      <c r="FA32" s="161"/>
      <c r="FB32" s="161"/>
      <c r="FC32" s="161"/>
      <c r="FD32" s="161"/>
      <c r="FE32" s="161"/>
      <c r="FF32" s="147"/>
      <c r="FG32" s="147"/>
      <c r="FH32" s="147"/>
      <c r="FI32" s="147"/>
      <c r="FJ32" s="147"/>
      <c r="FK32" s="154"/>
      <c r="FL32" s="154"/>
      <c r="FM32" s="154"/>
      <c r="FN32" s="154"/>
      <c r="FO32" s="154"/>
      <c r="FP32" s="154"/>
      <c r="FQ32" s="154"/>
      <c r="FR32" s="154"/>
      <c r="FS32" s="217"/>
      <c r="FT32" s="217"/>
      <c r="FU32" s="235"/>
      <c r="FV32" s="235"/>
      <c r="FW32" s="235"/>
      <c r="FX32" s="235"/>
      <c r="FY32" s="235"/>
      <c r="FZ32" s="154"/>
    </row>
    <row r="33" spans="4:195" s="153" customFormat="1" ht="13.5" hidden="1" customHeight="1"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5"/>
      <c r="AB33" s="157"/>
      <c r="AC33" s="158"/>
      <c r="AD33" s="159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47"/>
      <c r="BN33" s="147"/>
      <c r="BO33" s="147"/>
      <c r="BP33" s="147"/>
      <c r="BQ33" s="147"/>
      <c r="BR33" s="147"/>
      <c r="BS33" s="147"/>
      <c r="BT33" s="147"/>
      <c r="BU33" s="161"/>
      <c r="BV33" s="161"/>
      <c r="BW33" s="161"/>
      <c r="BX33" s="161"/>
      <c r="BY33" s="161"/>
      <c r="BZ33" s="161"/>
      <c r="CA33" s="161"/>
      <c r="CB33" s="161"/>
      <c r="CC33" s="161"/>
      <c r="CD33" s="161"/>
      <c r="CE33" s="161"/>
      <c r="CF33" s="161"/>
      <c r="CG33" s="161"/>
      <c r="CH33" s="161"/>
      <c r="CI33" s="161"/>
      <c r="CJ33" s="161"/>
      <c r="CK33" s="161"/>
      <c r="CL33" s="161"/>
      <c r="CM33" s="161"/>
      <c r="CN33" s="161"/>
      <c r="CO33" s="161"/>
      <c r="CP33" s="161"/>
      <c r="CQ33" s="161"/>
      <c r="CR33" s="161"/>
      <c r="CS33" s="161"/>
      <c r="CT33" s="161"/>
      <c r="CU33" s="161"/>
      <c r="CV33" s="161"/>
      <c r="CW33" s="161"/>
      <c r="CX33" s="161"/>
      <c r="CY33" s="161"/>
      <c r="CZ33" s="161"/>
      <c r="DA33" s="161"/>
      <c r="DB33" s="161"/>
      <c r="DC33" s="161"/>
      <c r="DD33" s="161"/>
      <c r="DE33" s="161"/>
      <c r="DF33" s="161"/>
      <c r="DG33" s="161"/>
      <c r="DH33" s="161"/>
      <c r="DI33" s="161"/>
      <c r="DJ33" s="161"/>
      <c r="DK33" s="161"/>
      <c r="DL33" s="161"/>
      <c r="DM33" s="161"/>
      <c r="DN33" s="161"/>
      <c r="DO33" s="161"/>
      <c r="DP33" s="161"/>
      <c r="DQ33" s="161"/>
      <c r="DR33" s="161"/>
      <c r="DS33" s="161"/>
      <c r="DT33" s="161"/>
      <c r="DU33" s="161"/>
      <c r="DV33" s="161"/>
      <c r="DW33" s="161"/>
      <c r="DX33" s="147"/>
      <c r="DY33" s="147"/>
      <c r="DZ33" s="147"/>
      <c r="EA33" s="147"/>
      <c r="EB33" s="147"/>
      <c r="EC33" s="161"/>
      <c r="ED33" s="161"/>
      <c r="EE33" s="161"/>
      <c r="EF33" s="161"/>
      <c r="EG33" s="161"/>
      <c r="EH33" s="161"/>
      <c r="EI33" s="161"/>
      <c r="EJ33" s="161"/>
      <c r="EK33" s="161"/>
      <c r="EL33" s="161"/>
      <c r="EM33" s="161"/>
      <c r="EN33" s="161"/>
      <c r="EO33" s="161"/>
      <c r="EP33" s="161"/>
      <c r="EQ33" s="161"/>
      <c r="ER33" s="161"/>
      <c r="ES33" s="161"/>
      <c r="ET33" s="161"/>
      <c r="EU33" s="161"/>
      <c r="EV33" s="161"/>
      <c r="EW33" s="161"/>
      <c r="EX33" s="161"/>
      <c r="EY33" s="161"/>
      <c r="EZ33" s="161"/>
      <c r="FA33" s="161"/>
      <c r="FB33" s="161"/>
      <c r="FC33" s="161"/>
      <c r="FD33" s="161"/>
      <c r="FE33" s="161"/>
      <c r="FF33" s="147"/>
      <c r="FG33" s="147"/>
      <c r="FH33" s="147"/>
      <c r="FI33" s="147"/>
      <c r="FJ33" s="147"/>
      <c r="FK33" s="154"/>
      <c r="FL33" s="154"/>
      <c r="FM33" s="154"/>
      <c r="FN33" s="154"/>
      <c r="FO33" s="154"/>
      <c r="FP33" s="154"/>
      <c r="FQ33" s="154"/>
      <c r="FR33" s="154"/>
      <c r="FS33" s="217"/>
      <c r="FT33" s="217"/>
      <c r="FU33" s="235"/>
      <c r="FV33" s="235"/>
      <c r="FW33" s="235"/>
      <c r="FX33" s="235"/>
      <c r="FY33" s="235"/>
      <c r="FZ33" s="154"/>
    </row>
    <row r="34" spans="4:195" s="153" customFormat="1" ht="13.5" hidden="1" customHeight="1"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5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154"/>
      <c r="DJ34" s="154"/>
      <c r="DK34" s="154"/>
      <c r="DL34" s="154"/>
      <c r="DM34" s="154"/>
      <c r="DN34" s="154"/>
      <c r="DO34" s="154"/>
      <c r="DP34" s="154"/>
      <c r="DQ34" s="154"/>
      <c r="DR34" s="154"/>
      <c r="DS34" s="154"/>
      <c r="DT34" s="154"/>
      <c r="DU34" s="154"/>
      <c r="DV34" s="154"/>
      <c r="DW34" s="154"/>
      <c r="DX34" s="154"/>
      <c r="DY34" s="154"/>
      <c r="DZ34" s="154"/>
      <c r="EA34" s="154"/>
      <c r="EB34" s="154"/>
      <c r="EC34" s="154"/>
      <c r="ED34" s="154"/>
      <c r="EE34" s="154"/>
      <c r="EF34" s="154"/>
      <c r="EG34" s="154"/>
      <c r="EH34" s="154"/>
      <c r="EI34" s="154"/>
      <c r="EJ34" s="154"/>
      <c r="EK34" s="154"/>
      <c r="EL34" s="154"/>
      <c r="EM34" s="154"/>
      <c r="EN34" s="154"/>
      <c r="EO34" s="154"/>
      <c r="EP34" s="154"/>
      <c r="EQ34" s="154"/>
      <c r="ER34" s="154"/>
      <c r="ES34" s="154"/>
      <c r="ET34" s="154"/>
      <c r="EU34" s="154"/>
      <c r="EV34" s="154"/>
      <c r="EW34" s="154"/>
      <c r="EX34" s="154"/>
      <c r="EY34" s="154"/>
      <c r="EZ34" s="154"/>
      <c r="FA34" s="154"/>
      <c r="FB34" s="154"/>
      <c r="FC34" s="154"/>
      <c r="FD34" s="154"/>
      <c r="FE34" s="154"/>
      <c r="FF34" s="154"/>
      <c r="FG34" s="154"/>
      <c r="FH34" s="154"/>
      <c r="FI34" s="154"/>
      <c r="FJ34" s="154"/>
      <c r="FK34" s="154"/>
      <c r="FL34" s="154"/>
      <c r="FM34" s="154"/>
      <c r="FN34" s="154"/>
      <c r="FO34" s="154"/>
      <c r="FP34" s="154"/>
      <c r="FQ34" s="154"/>
      <c r="FR34" s="154"/>
      <c r="FS34" s="217"/>
      <c r="FT34" s="217"/>
      <c r="FU34" s="235"/>
      <c r="FV34" s="235"/>
      <c r="FW34" s="235"/>
      <c r="FX34" s="235"/>
      <c r="FY34" s="235"/>
      <c r="FZ34" s="154"/>
    </row>
    <row r="35" spans="4:195" s="153" customFormat="1" ht="13.5" hidden="1" customHeight="1"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5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  <c r="DT35" s="154"/>
      <c r="DU35" s="154"/>
      <c r="DV35" s="154"/>
      <c r="DW35" s="154"/>
      <c r="DX35" s="154"/>
      <c r="DY35" s="154"/>
      <c r="DZ35" s="154"/>
      <c r="EA35" s="154"/>
      <c r="EB35" s="154"/>
      <c r="EC35" s="154"/>
      <c r="ED35" s="154"/>
      <c r="EE35" s="154"/>
      <c r="EF35" s="154"/>
      <c r="EG35" s="154"/>
      <c r="EH35" s="154"/>
      <c r="EI35" s="154"/>
      <c r="EJ35" s="154"/>
      <c r="EK35" s="154"/>
      <c r="EL35" s="154"/>
      <c r="EM35" s="154"/>
      <c r="EN35" s="154"/>
      <c r="EO35" s="154"/>
      <c r="EP35" s="154"/>
      <c r="EQ35" s="154"/>
      <c r="ER35" s="154"/>
      <c r="ES35" s="154"/>
      <c r="ET35" s="154"/>
      <c r="EU35" s="154"/>
      <c r="EV35" s="154"/>
      <c r="EW35" s="154"/>
      <c r="EX35" s="154"/>
      <c r="EY35" s="154"/>
      <c r="EZ35" s="154"/>
      <c r="FA35" s="154"/>
      <c r="FB35" s="154"/>
      <c r="FC35" s="154"/>
      <c r="FD35" s="154"/>
      <c r="FE35" s="154"/>
      <c r="FF35" s="154"/>
      <c r="FG35" s="154"/>
      <c r="FH35" s="154"/>
      <c r="FI35" s="154"/>
      <c r="FJ35" s="154"/>
      <c r="FK35" s="154"/>
      <c r="FL35" s="154"/>
      <c r="FM35" s="154"/>
      <c r="FN35" s="154"/>
      <c r="FO35" s="154"/>
      <c r="FP35" s="154"/>
      <c r="FQ35" s="154"/>
      <c r="FR35" s="154"/>
      <c r="FS35" s="217"/>
      <c r="FT35" s="217"/>
      <c r="FU35" s="235"/>
      <c r="FV35" s="235"/>
      <c r="FW35" s="235"/>
      <c r="FX35" s="235"/>
      <c r="FY35" s="235"/>
      <c r="FZ35" s="154"/>
    </row>
    <row r="36" spans="4:195" s="254" customFormat="1" ht="12" customHeight="1"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55"/>
      <c r="AB36" s="248"/>
      <c r="AC36" s="278"/>
      <c r="AD36" s="278"/>
      <c r="AE36" s="279" t="s">
        <v>1724</v>
      </c>
      <c r="AF36" s="278"/>
      <c r="AG36" s="278"/>
      <c r="AH36" s="278"/>
      <c r="AI36" s="278"/>
      <c r="AJ36" s="278"/>
      <c r="AK36" s="278"/>
      <c r="AL36" s="278"/>
      <c r="AM36" s="278"/>
      <c r="AN36" s="278"/>
      <c r="AO36" s="278"/>
      <c r="AP36" s="278"/>
      <c r="AQ36" s="278"/>
      <c r="AR36" s="278"/>
      <c r="AS36" s="278"/>
      <c r="AT36" s="278"/>
      <c r="AU36" s="278"/>
      <c r="AV36" s="278"/>
      <c r="AW36" s="278"/>
      <c r="AX36" s="278"/>
      <c r="AY36" s="278"/>
      <c r="AZ36" s="278"/>
      <c r="BA36" s="278"/>
      <c r="BB36" s="278"/>
      <c r="BC36" s="278"/>
      <c r="BD36" s="278"/>
      <c r="BE36" s="278"/>
      <c r="BF36" s="278"/>
      <c r="BG36" s="278"/>
      <c r="BH36" s="278"/>
      <c r="BI36" s="278"/>
      <c r="BJ36" s="278"/>
      <c r="BK36" s="278"/>
      <c r="BL36" s="278"/>
      <c r="BM36" s="279" t="s">
        <v>1724</v>
      </c>
      <c r="BN36" s="278"/>
      <c r="BO36" s="278"/>
      <c r="BP36" s="278"/>
      <c r="BQ36" s="278"/>
      <c r="BR36" s="278"/>
      <c r="BS36" s="278"/>
      <c r="BT36" s="278"/>
      <c r="BU36" s="278"/>
      <c r="BV36" s="278"/>
      <c r="BW36" s="278"/>
      <c r="BX36" s="278"/>
      <c r="BY36" s="278"/>
      <c r="BZ36" s="278"/>
      <c r="CA36" s="278"/>
      <c r="CB36" s="278"/>
      <c r="CC36" s="278"/>
      <c r="CD36" s="278"/>
      <c r="CE36" s="278"/>
      <c r="CF36" s="278"/>
      <c r="CG36" s="278"/>
      <c r="CH36" s="278"/>
      <c r="CI36" s="278"/>
      <c r="CJ36" s="278"/>
      <c r="CK36" s="278"/>
      <c r="CL36" s="278"/>
      <c r="CM36" s="278"/>
      <c r="CN36" s="278"/>
      <c r="CO36" s="278"/>
      <c r="CP36" s="278"/>
      <c r="CQ36" s="278"/>
      <c r="CR36" s="278"/>
      <c r="CS36" s="278"/>
      <c r="CT36" s="278"/>
      <c r="CU36" s="279" t="s">
        <v>1724</v>
      </c>
      <c r="CV36" s="278"/>
      <c r="CW36" s="278"/>
      <c r="CX36" s="278"/>
      <c r="CY36" s="278"/>
      <c r="CZ36" s="278"/>
      <c r="DA36" s="278"/>
      <c r="DB36" s="278"/>
      <c r="DC36" s="278"/>
      <c r="DD36" s="278"/>
      <c r="DE36" s="278"/>
      <c r="DF36" s="278"/>
      <c r="DG36" s="278"/>
      <c r="DH36" s="278"/>
      <c r="DI36" s="278"/>
      <c r="DJ36" s="278"/>
      <c r="DK36" s="278"/>
      <c r="DL36" s="278"/>
      <c r="DM36" s="278"/>
      <c r="DN36" s="278"/>
      <c r="DO36" s="278"/>
      <c r="DP36" s="278"/>
      <c r="DQ36" s="278"/>
      <c r="DR36" s="278"/>
      <c r="DS36" s="278"/>
      <c r="DT36" s="278"/>
      <c r="DU36" s="278"/>
      <c r="DV36" s="278"/>
      <c r="DW36" s="278"/>
      <c r="DX36" s="278"/>
      <c r="DY36" s="278"/>
      <c r="DZ36" s="278"/>
      <c r="EA36" s="278"/>
      <c r="EB36" s="278"/>
      <c r="EC36" s="279" t="s">
        <v>1724</v>
      </c>
      <c r="ED36" s="278"/>
      <c r="EE36" s="278"/>
      <c r="EF36" s="278"/>
      <c r="EG36" s="278"/>
      <c r="EH36" s="278"/>
      <c r="EI36" s="278"/>
      <c r="EJ36" s="278"/>
      <c r="EK36" s="278"/>
      <c r="EL36" s="278"/>
      <c r="EM36" s="278"/>
      <c r="EN36" s="278"/>
      <c r="EO36" s="278"/>
      <c r="EP36" s="278"/>
      <c r="EQ36" s="278"/>
      <c r="ER36" s="278"/>
      <c r="ES36" s="278"/>
      <c r="ET36" s="278"/>
      <c r="EU36" s="278"/>
      <c r="EV36" s="278"/>
      <c r="EW36" s="278"/>
      <c r="EX36" s="278"/>
      <c r="EY36" s="278"/>
      <c r="EZ36" s="278"/>
      <c r="FA36" s="278"/>
      <c r="FB36" s="278"/>
      <c r="FC36" s="278"/>
      <c r="FD36" s="278"/>
      <c r="FE36" s="278"/>
      <c r="FF36" s="278"/>
      <c r="FG36" s="278"/>
      <c r="FH36" s="278"/>
      <c r="FI36" s="278"/>
      <c r="FJ36" s="278"/>
      <c r="FK36" s="278"/>
      <c r="FL36" s="278"/>
      <c r="FM36" s="278"/>
      <c r="FN36" s="278"/>
      <c r="FO36" s="278"/>
      <c r="FP36" s="278"/>
      <c r="FQ36" s="278"/>
      <c r="FR36" s="278"/>
      <c r="FS36" s="256"/>
      <c r="FT36" s="256"/>
      <c r="FU36" s="257"/>
      <c r="FV36" s="257"/>
      <c r="FW36" s="257"/>
      <c r="FX36" s="257"/>
      <c r="FY36" s="257"/>
      <c r="FZ36" s="248"/>
    </row>
    <row r="37" spans="4:195" s="258" customFormat="1" ht="12" customHeight="1">
      <c r="F37" s="252"/>
      <c r="G37" s="252"/>
      <c r="H37" s="252"/>
      <c r="I37" s="252"/>
      <c r="J37" s="252"/>
      <c r="K37" s="252"/>
      <c r="L37" s="252"/>
      <c r="M37" s="252"/>
      <c r="N37" s="252"/>
      <c r="O37" s="237" t="s">
        <v>1771</v>
      </c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78"/>
      <c r="AD37" s="278"/>
      <c r="AE37" s="279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79" t="s">
        <v>1724</v>
      </c>
      <c r="AQ37" s="280"/>
      <c r="AR37" s="280"/>
      <c r="AS37" s="279" t="s">
        <v>1724</v>
      </c>
      <c r="AT37" s="280"/>
      <c r="AU37" s="280"/>
      <c r="AV37" s="280"/>
      <c r="AW37" s="280"/>
      <c r="AX37" s="280"/>
      <c r="AY37" s="280"/>
      <c r="AZ37" s="280"/>
      <c r="BA37" s="280"/>
      <c r="BB37" s="280"/>
      <c r="BC37" s="280"/>
      <c r="BD37" s="280"/>
      <c r="BE37" s="280"/>
      <c r="BF37" s="280"/>
      <c r="BG37" s="280"/>
      <c r="BH37" s="279" t="s">
        <v>1724</v>
      </c>
      <c r="BI37" s="278"/>
      <c r="BJ37" s="278"/>
      <c r="BK37" s="278"/>
      <c r="BL37" s="278"/>
      <c r="BM37" s="279"/>
      <c r="BN37" s="280"/>
      <c r="BO37" s="280"/>
      <c r="BP37" s="280"/>
      <c r="BQ37" s="280"/>
      <c r="BR37" s="280"/>
      <c r="BS37" s="280"/>
      <c r="BT37" s="280"/>
      <c r="BU37" s="280"/>
      <c r="BV37" s="280"/>
      <c r="BW37" s="280"/>
      <c r="BX37" s="279" t="s">
        <v>1724</v>
      </c>
      <c r="BY37" s="280"/>
      <c r="BZ37" s="280"/>
      <c r="CA37" s="279" t="s">
        <v>1724</v>
      </c>
      <c r="CB37" s="280"/>
      <c r="CC37" s="280"/>
      <c r="CD37" s="280"/>
      <c r="CE37" s="280"/>
      <c r="CF37" s="280"/>
      <c r="CG37" s="280"/>
      <c r="CH37" s="280"/>
      <c r="CI37" s="280"/>
      <c r="CJ37" s="280"/>
      <c r="CK37" s="280"/>
      <c r="CL37" s="280"/>
      <c r="CM37" s="280"/>
      <c r="CN37" s="280"/>
      <c r="CO37" s="280"/>
      <c r="CP37" s="279" t="s">
        <v>1724</v>
      </c>
      <c r="CQ37" s="278"/>
      <c r="CR37" s="278"/>
      <c r="CS37" s="278"/>
      <c r="CT37" s="278"/>
      <c r="CU37" s="279"/>
      <c r="CV37" s="280"/>
      <c r="CW37" s="280"/>
      <c r="CX37" s="280"/>
      <c r="CY37" s="280"/>
      <c r="CZ37" s="280"/>
      <c r="DA37" s="280"/>
      <c r="DB37" s="280"/>
      <c r="DC37" s="280"/>
      <c r="DD37" s="280"/>
      <c r="DE37" s="280"/>
      <c r="DF37" s="279" t="s">
        <v>1724</v>
      </c>
      <c r="DG37" s="280"/>
      <c r="DH37" s="280"/>
      <c r="DI37" s="279" t="s">
        <v>1724</v>
      </c>
      <c r="DJ37" s="280"/>
      <c r="DK37" s="280"/>
      <c r="DL37" s="280"/>
      <c r="DM37" s="280"/>
      <c r="DN37" s="280"/>
      <c r="DO37" s="280"/>
      <c r="DP37" s="280"/>
      <c r="DQ37" s="280"/>
      <c r="DR37" s="280"/>
      <c r="DS37" s="280"/>
      <c r="DT37" s="280"/>
      <c r="DU37" s="280"/>
      <c r="DV37" s="280"/>
      <c r="DW37" s="280"/>
      <c r="DX37" s="279" t="s">
        <v>1724</v>
      </c>
      <c r="DY37" s="278"/>
      <c r="DZ37" s="278"/>
      <c r="EA37" s="278"/>
      <c r="EB37" s="278"/>
      <c r="EC37" s="279"/>
      <c r="ED37" s="280"/>
      <c r="EE37" s="280"/>
      <c r="EF37" s="280"/>
      <c r="EG37" s="280"/>
      <c r="EH37" s="280"/>
      <c r="EI37" s="280"/>
      <c r="EJ37" s="280"/>
      <c r="EK37" s="280"/>
      <c r="EL37" s="280"/>
      <c r="EM37" s="280"/>
      <c r="EN37" s="279" t="s">
        <v>1724</v>
      </c>
      <c r="EO37" s="280"/>
      <c r="EP37" s="280"/>
      <c r="EQ37" s="279" t="s">
        <v>1724</v>
      </c>
      <c r="ER37" s="280"/>
      <c r="ES37" s="280"/>
      <c r="ET37" s="280"/>
      <c r="EU37" s="280"/>
      <c r="EV37" s="280"/>
      <c r="EW37" s="280"/>
      <c r="EX37" s="280"/>
      <c r="EY37" s="280"/>
      <c r="EZ37" s="280"/>
      <c r="FA37" s="280"/>
      <c r="FB37" s="280"/>
      <c r="FC37" s="280"/>
      <c r="FD37" s="280"/>
      <c r="FE37" s="280"/>
      <c r="FF37" s="279" t="s">
        <v>1724</v>
      </c>
      <c r="FG37" s="278"/>
      <c r="FH37" s="278"/>
      <c r="FI37" s="278"/>
      <c r="FJ37" s="278"/>
      <c r="FK37" s="278"/>
      <c r="FL37" s="278"/>
      <c r="FM37" s="278"/>
      <c r="FN37" s="278"/>
      <c r="FO37" s="278"/>
      <c r="FP37" s="278"/>
      <c r="FQ37" s="278"/>
      <c r="FR37" s="278"/>
      <c r="FS37" s="256"/>
      <c r="FT37" s="256"/>
      <c r="FU37" s="257"/>
      <c r="FV37" s="257"/>
      <c r="FW37" s="257"/>
      <c r="FX37" s="257"/>
      <c r="FY37" s="257"/>
      <c r="FZ37" s="252"/>
    </row>
    <row r="38" spans="4:195" s="58" customFormat="1" ht="0.75" customHeight="1">
      <c r="F38" s="59"/>
      <c r="G38" s="59"/>
      <c r="H38" s="59"/>
      <c r="I38" s="59"/>
      <c r="J38" s="59"/>
      <c r="K38" s="59"/>
      <c r="L38" s="59"/>
      <c r="M38" s="59"/>
      <c r="N38" s="59"/>
      <c r="O38" s="56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166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X38" s="59"/>
      <c r="FY38" s="59"/>
      <c r="FZ38" s="59"/>
    </row>
    <row r="39" spans="4:195" s="346" customFormat="1" ht="18" customHeight="1">
      <c r="E39" s="341"/>
      <c r="F39" s="342"/>
      <c r="G39" s="483"/>
      <c r="H39" s="342"/>
      <c r="I39" s="459" t="s">
        <v>1551</v>
      </c>
      <c r="J39" s="493" t="s">
        <v>1505</v>
      </c>
      <c r="K39" s="493" t="s">
        <v>1508</v>
      </c>
      <c r="L39" s="493" t="s">
        <v>1547</v>
      </c>
      <c r="M39" s="492" t="s">
        <v>1549</v>
      </c>
      <c r="N39" s="492" t="s">
        <v>1606</v>
      </c>
      <c r="O39" s="492" t="s">
        <v>1661</v>
      </c>
      <c r="P39" s="459" t="s">
        <v>1761</v>
      </c>
      <c r="Q39" s="459" t="s">
        <v>1548</v>
      </c>
      <c r="R39" s="459" t="s">
        <v>1659</v>
      </c>
      <c r="S39" s="459" t="s">
        <v>1550</v>
      </c>
      <c r="T39" s="459" t="s">
        <v>1660</v>
      </c>
      <c r="U39" s="459" t="s">
        <v>1736</v>
      </c>
      <c r="V39" s="348"/>
      <c r="W39" s="349"/>
      <c r="X39" s="343"/>
      <c r="Y39" s="459" t="s">
        <v>1742</v>
      </c>
      <c r="Z39" s="459"/>
      <c r="AA39" s="459" t="s">
        <v>1647</v>
      </c>
      <c r="AB39" s="459" t="s">
        <v>1605</v>
      </c>
      <c r="AC39" s="459" t="s">
        <v>1668</v>
      </c>
      <c r="AD39" s="459"/>
      <c r="AE39" s="433" t="str">
        <f>"Фактические величины показателей по итогам 12 месяцев " &amp; IF(god="","Не определено",god) &amp; " года"</f>
        <v>Фактические величины показателей по итогам 12 месяцев 2014 года</v>
      </c>
      <c r="AF39" s="433"/>
      <c r="AG39" s="433"/>
      <c r="AH39" s="433"/>
      <c r="AI39" s="433"/>
      <c r="AJ39" s="433"/>
      <c r="AK39" s="433"/>
      <c r="AL39" s="433"/>
      <c r="AM39" s="433"/>
      <c r="AN39" s="433"/>
      <c r="AO39" s="433"/>
      <c r="AP39" s="433"/>
      <c r="AQ39" s="433"/>
      <c r="AR39" s="433"/>
      <c r="AS39" s="433"/>
      <c r="AT39" s="433"/>
      <c r="AU39" s="433"/>
      <c r="AV39" s="433"/>
      <c r="AW39" s="433"/>
      <c r="AX39" s="433"/>
      <c r="AY39" s="433"/>
      <c r="AZ39" s="433"/>
      <c r="BA39" s="433"/>
      <c r="BB39" s="433"/>
      <c r="BC39" s="433"/>
      <c r="BD39" s="433"/>
      <c r="BE39" s="433"/>
      <c r="BF39" s="433"/>
      <c r="BG39" s="433"/>
      <c r="BH39" s="433"/>
      <c r="BI39" s="433"/>
      <c r="BJ39" s="433"/>
      <c r="BK39" s="433"/>
      <c r="BL39" s="433"/>
      <c r="BM39" s="433" t="str">
        <f>"Фактические величины показателей по итогам 9 месяцев " &amp; IF(god="","Не определено",god) &amp; " года"</f>
        <v>Фактические величины показателей по итогам 9 месяцев 2014 года</v>
      </c>
      <c r="BN39" s="433"/>
      <c r="BO39" s="433"/>
      <c r="BP39" s="433"/>
      <c r="BQ39" s="433"/>
      <c r="BR39" s="433"/>
      <c r="BS39" s="433"/>
      <c r="BT39" s="433"/>
      <c r="BU39" s="433"/>
      <c r="BV39" s="433"/>
      <c r="BW39" s="433"/>
      <c r="BX39" s="433"/>
      <c r="BY39" s="433"/>
      <c r="BZ39" s="433"/>
      <c r="CA39" s="433"/>
      <c r="CB39" s="433"/>
      <c r="CC39" s="433"/>
      <c r="CD39" s="433"/>
      <c r="CE39" s="433"/>
      <c r="CF39" s="433"/>
      <c r="CG39" s="433"/>
      <c r="CH39" s="433"/>
      <c r="CI39" s="433"/>
      <c r="CJ39" s="433"/>
      <c r="CK39" s="433"/>
      <c r="CL39" s="433"/>
      <c r="CM39" s="433"/>
      <c r="CN39" s="433"/>
      <c r="CO39" s="433"/>
      <c r="CP39" s="433"/>
      <c r="CQ39" s="433"/>
      <c r="CR39" s="433"/>
      <c r="CS39" s="433"/>
      <c r="CT39" s="433"/>
      <c r="CU39" s="436" t="str">
        <f>"Фактические величины показателей по итогам I полугодия " &amp; IF(god="","Не определено",god) &amp; " года"</f>
        <v>Фактические величины показателей по итогам I полугодия 2014 года</v>
      </c>
      <c r="CV39" s="437"/>
      <c r="CW39" s="437"/>
      <c r="CX39" s="437"/>
      <c r="CY39" s="437"/>
      <c r="CZ39" s="437"/>
      <c r="DA39" s="437"/>
      <c r="DB39" s="437"/>
      <c r="DC39" s="437"/>
      <c r="DD39" s="437"/>
      <c r="DE39" s="437"/>
      <c r="DF39" s="437"/>
      <c r="DG39" s="437"/>
      <c r="DH39" s="437"/>
      <c r="DI39" s="437"/>
      <c r="DJ39" s="437"/>
      <c r="DK39" s="437"/>
      <c r="DL39" s="437"/>
      <c r="DM39" s="437"/>
      <c r="DN39" s="437"/>
      <c r="DO39" s="437"/>
      <c r="DP39" s="437"/>
      <c r="DQ39" s="437"/>
      <c r="DR39" s="437"/>
      <c r="DS39" s="437"/>
      <c r="DT39" s="437"/>
      <c r="DU39" s="437"/>
      <c r="DV39" s="437"/>
      <c r="DW39" s="437"/>
      <c r="DX39" s="437"/>
      <c r="DY39" s="437"/>
      <c r="DZ39" s="437"/>
      <c r="EA39" s="437"/>
      <c r="EB39" s="437"/>
      <c r="EC39" s="436" t="str">
        <f>"Фактические величины показателей по итогам I квартала " &amp; IF(god="","Не определено",god) &amp; " года"</f>
        <v>Фактические величины показателей по итогам I квартала 2014 года</v>
      </c>
      <c r="ED39" s="437"/>
      <c r="EE39" s="437"/>
      <c r="EF39" s="437"/>
      <c r="EG39" s="437"/>
      <c r="EH39" s="437"/>
      <c r="EI39" s="437"/>
      <c r="EJ39" s="437"/>
      <c r="EK39" s="437"/>
      <c r="EL39" s="437"/>
      <c r="EM39" s="437"/>
      <c r="EN39" s="437"/>
      <c r="EO39" s="437"/>
      <c r="EP39" s="437"/>
      <c r="EQ39" s="437"/>
      <c r="ER39" s="437"/>
      <c r="ES39" s="437"/>
      <c r="ET39" s="437"/>
      <c r="EU39" s="437"/>
      <c r="EV39" s="437"/>
      <c r="EW39" s="437"/>
      <c r="EX39" s="437"/>
      <c r="EY39" s="437"/>
      <c r="EZ39" s="437"/>
      <c r="FA39" s="437"/>
      <c r="FB39" s="437"/>
      <c r="FC39" s="437"/>
      <c r="FD39" s="437"/>
      <c r="FE39" s="437"/>
      <c r="FF39" s="437"/>
      <c r="FG39" s="437"/>
      <c r="FH39" s="437"/>
      <c r="FI39" s="437"/>
      <c r="FJ39" s="437"/>
      <c r="FK39" s="433" t="s">
        <v>1666</v>
      </c>
      <c r="FL39" s="433" t="s">
        <v>1641</v>
      </c>
      <c r="FM39" s="433"/>
      <c r="FN39" s="436" t="s">
        <v>1665</v>
      </c>
      <c r="FO39" s="456" t="s">
        <v>1731</v>
      </c>
      <c r="FP39" s="456" t="s">
        <v>1732</v>
      </c>
      <c r="FQ39" s="456" t="s">
        <v>1733</v>
      </c>
      <c r="FR39" s="456" t="s">
        <v>1646</v>
      </c>
      <c r="FS39" s="344"/>
      <c r="FT39" s="345"/>
      <c r="FU39" s="345"/>
      <c r="FV39" s="345"/>
      <c r="FW39" s="345"/>
      <c r="FX39" s="345"/>
      <c r="FY39" s="345"/>
      <c r="FZ39" s="345"/>
      <c r="GD39" s="339"/>
      <c r="GE39" s="339"/>
    </row>
    <row r="40" spans="4:195" s="346" customFormat="1" ht="18" customHeight="1">
      <c r="E40" s="341"/>
      <c r="F40" s="342"/>
      <c r="G40" s="483"/>
      <c r="H40" s="342"/>
      <c r="I40" s="459"/>
      <c r="J40" s="494"/>
      <c r="K40" s="494"/>
      <c r="L40" s="494"/>
      <c r="M40" s="492"/>
      <c r="N40" s="492"/>
      <c r="O40" s="492"/>
      <c r="P40" s="459"/>
      <c r="Q40" s="459"/>
      <c r="R40" s="459"/>
      <c r="S40" s="459"/>
      <c r="T40" s="459"/>
      <c r="U40" s="459"/>
      <c r="V40" s="350"/>
      <c r="W40" s="351"/>
      <c r="X40" s="347"/>
      <c r="Y40" s="459"/>
      <c r="Z40" s="459"/>
      <c r="AA40" s="459"/>
      <c r="AB40" s="459"/>
      <c r="AC40" s="459"/>
      <c r="AD40" s="459"/>
      <c r="AE40" s="433" t="s">
        <v>15</v>
      </c>
      <c r="AF40" s="433"/>
      <c r="AG40" s="433" t="s">
        <v>16</v>
      </c>
      <c r="AH40" s="433"/>
      <c r="AI40" s="433" t="s">
        <v>17</v>
      </c>
      <c r="AJ40" s="433"/>
      <c r="AK40" s="433" t="s">
        <v>1387</v>
      </c>
      <c r="AL40" s="433" t="s">
        <v>1389</v>
      </c>
      <c r="AM40" s="433" t="s">
        <v>1388</v>
      </c>
      <c r="AN40" s="435" t="s">
        <v>1689</v>
      </c>
      <c r="AO40" s="435"/>
      <c r="AP40" s="438" t="s">
        <v>1707</v>
      </c>
      <c r="AQ40" s="433"/>
      <c r="AR40" s="433"/>
      <c r="AS40" s="436" t="s">
        <v>1662</v>
      </c>
      <c r="AT40" s="437"/>
      <c r="AU40" s="437"/>
      <c r="AV40" s="437"/>
      <c r="AW40" s="437"/>
      <c r="AX40" s="437"/>
      <c r="AY40" s="437"/>
      <c r="AZ40" s="437"/>
      <c r="BA40" s="437"/>
      <c r="BB40" s="437"/>
      <c r="BC40" s="437"/>
      <c r="BD40" s="437"/>
      <c r="BE40" s="437"/>
      <c r="BF40" s="437"/>
      <c r="BG40" s="438"/>
      <c r="BH40" s="433" t="s">
        <v>1621</v>
      </c>
      <c r="BI40" s="433"/>
      <c r="BJ40" s="433"/>
      <c r="BK40" s="433"/>
      <c r="BL40" s="433"/>
      <c r="BM40" s="433" t="s">
        <v>15</v>
      </c>
      <c r="BN40" s="433"/>
      <c r="BO40" s="433" t="s">
        <v>16</v>
      </c>
      <c r="BP40" s="433"/>
      <c r="BQ40" s="433" t="s">
        <v>17</v>
      </c>
      <c r="BR40" s="433"/>
      <c r="BS40" s="433" t="s">
        <v>1387</v>
      </c>
      <c r="BT40" s="433" t="s">
        <v>1389</v>
      </c>
      <c r="BU40" s="433" t="s">
        <v>1388</v>
      </c>
      <c r="BV40" s="435" t="s">
        <v>1689</v>
      </c>
      <c r="BW40" s="435"/>
      <c r="BX40" s="438" t="s">
        <v>1707</v>
      </c>
      <c r="BY40" s="433"/>
      <c r="BZ40" s="433"/>
      <c r="CA40" s="436" t="s">
        <v>1662</v>
      </c>
      <c r="CB40" s="437"/>
      <c r="CC40" s="437"/>
      <c r="CD40" s="437"/>
      <c r="CE40" s="437"/>
      <c r="CF40" s="437"/>
      <c r="CG40" s="437"/>
      <c r="CH40" s="437"/>
      <c r="CI40" s="437"/>
      <c r="CJ40" s="437"/>
      <c r="CK40" s="437"/>
      <c r="CL40" s="437"/>
      <c r="CM40" s="437"/>
      <c r="CN40" s="437"/>
      <c r="CO40" s="438"/>
      <c r="CP40" s="433" t="s">
        <v>1621</v>
      </c>
      <c r="CQ40" s="433"/>
      <c r="CR40" s="433"/>
      <c r="CS40" s="433"/>
      <c r="CT40" s="433"/>
      <c r="CU40" s="433" t="s">
        <v>15</v>
      </c>
      <c r="CV40" s="433"/>
      <c r="CW40" s="433" t="s">
        <v>16</v>
      </c>
      <c r="CX40" s="433"/>
      <c r="CY40" s="433" t="s">
        <v>17</v>
      </c>
      <c r="CZ40" s="433"/>
      <c r="DA40" s="433" t="s">
        <v>1387</v>
      </c>
      <c r="DB40" s="433" t="s">
        <v>1389</v>
      </c>
      <c r="DC40" s="433" t="s">
        <v>1388</v>
      </c>
      <c r="DD40" s="435" t="s">
        <v>1689</v>
      </c>
      <c r="DE40" s="435"/>
      <c r="DF40" s="438" t="s">
        <v>1707</v>
      </c>
      <c r="DG40" s="433"/>
      <c r="DH40" s="433"/>
      <c r="DI40" s="436" t="s">
        <v>1662</v>
      </c>
      <c r="DJ40" s="437"/>
      <c r="DK40" s="437"/>
      <c r="DL40" s="437"/>
      <c r="DM40" s="437"/>
      <c r="DN40" s="437"/>
      <c r="DO40" s="437"/>
      <c r="DP40" s="437"/>
      <c r="DQ40" s="437"/>
      <c r="DR40" s="437"/>
      <c r="DS40" s="437"/>
      <c r="DT40" s="437"/>
      <c r="DU40" s="437"/>
      <c r="DV40" s="437"/>
      <c r="DW40" s="438"/>
      <c r="DX40" s="433" t="s">
        <v>1621</v>
      </c>
      <c r="DY40" s="433"/>
      <c r="DZ40" s="433"/>
      <c r="EA40" s="433"/>
      <c r="EB40" s="433"/>
      <c r="EC40" s="433" t="s">
        <v>15</v>
      </c>
      <c r="ED40" s="433"/>
      <c r="EE40" s="433" t="s">
        <v>16</v>
      </c>
      <c r="EF40" s="433"/>
      <c r="EG40" s="433" t="s">
        <v>17</v>
      </c>
      <c r="EH40" s="433"/>
      <c r="EI40" s="433" t="s">
        <v>1387</v>
      </c>
      <c r="EJ40" s="433" t="s">
        <v>1389</v>
      </c>
      <c r="EK40" s="433" t="s">
        <v>1388</v>
      </c>
      <c r="EL40" s="435" t="s">
        <v>1689</v>
      </c>
      <c r="EM40" s="435"/>
      <c r="EN40" s="438" t="s">
        <v>1707</v>
      </c>
      <c r="EO40" s="433"/>
      <c r="EP40" s="433"/>
      <c r="EQ40" s="436" t="s">
        <v>1662</v>
      </c>
      <c r="ER40" s="437"/>
      <c r="ES40" s="437"/>
      <c r="ET40" s="437"/>
      <c r="EU40" s="437"/>
      <c r="EV40" s="437"/>
      <c r="EW40" s="437"/>
      <c r="EX40" s="437"/>
      <c r="EY40" s="437"/>
      <c r="EZ40" s="437"/>
      <c r="FA40" s="437"/>
      <c r="FB40" s="437"/>
      <c r="FC40" s="437"/>
      <c r="FD40" s="437"/>
      <c r="FE40" s="438"/>
      <c r="FF40" s="433" t="s">
        <v>1621</v>
      </c>
      <c r="FG40" s="433"/>
      <c r="FH40" s="433"/>
      <c r="FI40" s="433"/>
      <c r="FJ40" s="433"/>
      <c r="FK40" s="433"/>
      <c r="FL40" s="433"/>
      <c r="FM40" s="433"/>
      <c r="FN40" s="436"/>
      <c r="FO40" s="457"/>
      <c r="FP40" s="457"/>
      <c r="FQ40" s="457"/>
      <c r="FR40" s="457"/>
      <c r="FS40" s="344"/>
      <c r="FT40" s="345"/>
      <c r="FU40" s="345"/>
      <c r="FV40" s="345"/>
      <c r="FW40" s="345"/>
      <c r="FX40" s="345"/>
      <c r="FY40" s="345"/>
      <c r="FZ40" s="345"/>
      <c r="GD40" s="339"/>
      <c r="GE40" s="339"/>
    </row>
    <row r="41" spans="4:195" s="346" customFormat="1" ht="15" customHeight="1">
      <c r="E41" s="341"/>
      <c r="F41" s="342"/>
      <c r="G41" s="483"/>
      <c r="H41" s="342"/>
      <c r="I41" s="459"/>
      <c r="J41" s="494"/>
      <c r="K41" s="494"/>
      <c r="L41" s="494"/>
      <c r="M41" s="492"/>
      <c r="N41" s="492"/>
      <c r="O41" s="492"/>
      <c r="P41" s="459"/>
      <c r="Q41" s="459"/>
      <c r="R41" s="459"/>
      <c r="S41" s="459"/>
      <c r="T41" s="459"/>
      <c r="U41" s="459"/>
      <c r="V41" s="350"/>
      <c r="W41" s="351"/>
      <c r="X41" s="347"/>
      <c r="Y41" s="459"/>
      <c r="Z41" s="459"/>
      <c r="AA41" s="459"/>
      <c r="AB41" s="459"/>
      <c r="AC41" s="459"/>
      <c r="AD41" s="459"/>
      <c r="AE41" s="433"/>
      <c r="AF41" s="433"/>
      <c r="AG41" s="433"/>
      <c r="AH41" s="433"/>
      <c r="AI41" s="433"/>
      <c r="AJ41" s="433"/>
      <c r="AK41" s="433"/>
      <c r="AL41" s="433"/>
      <c r="AM41" s="433"/>
      <c r="AN41" s="435"/>
      <c r="AO41" s="435"/>
      <c r="AP41" s="438"/>
      <c r="AQ41" s="433"/>
      <c r="AR41" s="433"/>
      <c r="AS41" s="436" t="s">
        <v>1381</v>
      </c>
      <c r="AT41" s="437"/>
      <c r="AU41" s="437"/>
      <c r="AV41" s="437"/>
      <c r="AW41" s="438"/>
      <c r="AX41" s="436" t="s">
        <v>1382</v>
      </c>
      <c r="AY41" s="437"/>
      <c r="AZ41" s="437"/>
      <c r="BA41" s="437"/>
      <c r="BB41" s="438"/>
      <c r="BC41" s="436" t="s">
        <v>1383</v>
      </c>
      <c r="BD41" s="437"/>
      <c r="BE41" s="437"/>
      <c r="BF41" s="437"/>
      <c r="BG41" s="438"/>
      <c r="BH41" s="443" t="s">
        <v>1676</v>
      </c>
      <c r="BI41" s="444"/>
      <c r="BJ41" s="466" t="s">
        <v>1680</v>
      </c>
      <c r="BK41" s="439" t="s">
        <v>1667</v>
      </c>
      <c r="BL41" s="440"/>
      <c r="BM41" s="433"/>
      <c r="BN41" s="433"/>
      <c r="BO41" s="433"/>
      <c r="BP41" s="433"/>
      <c r="BQ41" s="433"/>
      <c r="BR41" s="433"/>
      <c r="BS41" s="433"/>
      <c r="BT41" s="433"/>
      <c r="BU41" s="433"/>
      <c r="BV41" s="435"/>
      <c r="BW41" s="435"/>
      <c r="BX41" s="438"/>
      <c r="BY41" s="433"/>
      <c r="BZ41" s="433"/>
      <c r="CA41" s="436" t="s">
        <v>1381</v>
      </c>
      <c r="CB41" s="437"/>
      <c r="CC41" s="437"/>
      <c r="CD41" s="437"/>
      <c r="CE41" s="438"/>
      <c r="CF41" s="436" t="s">
        <v>1382</v>
      </c>
      <c r="CG41" s="437"/>
      <c r="CH41" s="437"/>
      <c r="CI41" s="437"/>
      <c r="CJ41" s="438"/>
      <c r="CK41" s="436" t="s">
        <v>1383</v>
      </c>
      <c r="CL41" s="437"/>
      <c r="CM41" s="437"/>
      <c r="CN41" s="437"/>
      <c r="CO41" s="438"/>
      <c r="CP41" s="443" t="s">
        <v>1676</v>
      </c>
      <c r="CQ41" s="444"/>
      <c r="CR41" s="466" t="s">
        <v>1680</v>
      </c>
      <c r="CS41" s="439" t="s">
        <v>1667</v>
      </c>
      <c r="CT41" s="440"/>
      <c r="CU41" s="433"/>
      <c r="CV41" s="433"/>
      <c r="CW41" s="433"/>
      <c r="CX41" s="433"/>
      <c r="CY41" s="433"/>
      <c r="CZ41" s="433"/>
      <c r="DA41" s="433"/>
      <c r="DB41" s="433"/>
      <c r="DC41" s="433"/>
      <c r="DD41" s="435"/>
      <c r="DE41" s="435"/>
      <c r="DF41" s="438"/>
      <c r="DG41" s="433"/>
      <c r="DH41" s="433"/>
      <c r="DI41" s="436" t="s">
        <v>1381</v>
      </c>
      <c r="DJ41" s="437"/>
      <c r="DK41" s="437"/>
      <c r="DL41" s="437"/>
      <c r="DM41" s="438"/>
      <c r="DN41" s="436" t="s">
        <v>1382</v>
      </c>
      <c r="DO41" s="437"/>
      <c r="DP41" s="437"/>
      <c r="DQ41" s="437"/>
      <c r="DR41" s="438"/>
      <c r="DS41" s="436" t="s">
        <v>1383</v>
      </c>
      <c r="DT41" s="437"/>
      <c r="DU41" s="437"/>
      <c r="DV41" s="437"/>
      <c r="DW41" s="438"/>
      <c r="DX41" s="443" t="s">
        <v>1676</v>
      </c>
      <c r="DY41" s="444"/>
      <c r="DZ41" s="466" t="s">
        <v>1680</v>
      </c>
      <c r="EA41" s="439" t="s">
        <v>1667</v>
      </c>
      <c r="EB41" s="440"/>
      <c r="EC41" s="433"/>
      <c r="ED41" s="433"/>
      <c r="EE41" s="433"/>
      <c r="EF41" s="433"/>
      <c r="EG41" s="433"/>
      <c r="EH41" s="433"/>
      <c r="EI41" s="433"/>
      <c r="EJ41" s="433"/>
      <c r="EK41" s="433"/>
      <c r="EL41" s="435"/>
      <c r="EM41" s="435"/>
      <c r="EN41" s="438"/>
      <c r="EO41" s="433"/>
      <c r="EP41" s="433"/>
      <c r="EQ41" s="436" t="s">
        <v>1381</v>
      </c>
      <c r="ER41" s="437"/>
      <c r="ES41" s="437"/>
      <c r="ET41" s="437"/>
      <c r="EU41" s="438"/>
      <c r="EV41" s="436" t="s">
        <v>1382</v>
      </c>
      <c r="EW41" s="437"/>
      <c r="EX41" s="437"/>
      <c r="EY41" s="437"/>
      <c r="EZ41" s="438"/>
      <c r="FA41" s="436" t="s">
        <v>1383</v>
      </c>
      <c r="FB41" s="437"/>
      <c r="FC41" s="437"/>
      <c r="FD41" s="437"/>
      <c r="FE41" s="438"/>
      <c r="FF41" s="443" t="s">
        <v>1676</v>
      </c>
      <c r="FG41" s="444"/>
      <c r="FH41" s="466" t="s">
        <v>1680</v>
      </c>
      <c r="FI41" s="439" t="s">
        <v>1667</v>
      </c>
      <c r="FJ41" s="440"/>
      <c r="FK41" s="433"/>
      <c r="FL41" s="433"/>
      <c r="FM41" s="433"/>
      <c r="FN41" s="436"/>
      <c r="FO41" s="449"/>
      <c r="FP41" s="449"/>
      <c r="FQ41" s="449"/>
      <c r="FR41" s="449"/>
      <c r="FS41" s="344"/>
      <c r="FT41" s="345"/>
      <c r="FU41" s="345"/>
      <c r="FV41" s="345"/>
      <c r="FW41" s="345"/>
      <c r="FX41" s="345"/>
      <c r="FY41" s="345"/>
      <c r="FZ41" s="345"/>
      <c r="GD41" s="339"/>
      <c r="GE41" s="339"/>
    </row>
    <row r="42" spans="4:195" s="346" customFormat="1" ht="42" customHeight="1">
      <c r="E42" s="341"/>
      <c r="F42" s="342"/>
      <c r="G42" s="483"/>
      <c r="H42" s="342"/>
      <c r="I42" s="459"/>
      <c r="J42" s="494"/>
      <c r="K42" s="494"/>
      <c r="L42" s="494"/>
      <c r="M42" s="492"/>
      <c r="N42" s="492"/>
      <c r="O42" s="492"/>
      <c r="P42" s="459"/>
      <c r="Q42" s="459"/>
      <c r="R42" s="459"/>
      <c r="S42" s="459"/>
      <c r="T42" s="459"/>
      <c r="U42" s="459"/>
      <c r="V42" s="350"/>
      <c r="W42" s="351"/>
      <c r="X42" s="347"/>
      <c r="Y42" s="459"/>
      <c r="Z42" s="459"/>
      <c r="AA42" s="459"/>
      <c r="AB42" s="459"/>
      <c r="AC42" s="459"/>
      <c r="AD42" s="459"/>
      <c r="AE42" s="433"/>
      <c r="AF42" s="433"/>
      <c r="AG42" s="433"/>
      <c r="AH42" s="433"/>
      <c r="AI42" s="433"/>
      <c r="AJ42" s="433"/>
      <c r="AK42" s="433"/>
      <c r="AL42" s="433"/>
      <c r="AM42" s="433"/>
      <c r="AN42" s="435"/>
      <c r="AO42" s="435"/>
      <c r="AP42" s="448" t="s">
        <v>18</v>
      </c>
      <c r="AQ42" s="449"/>
      <c r="AR42" s="449" t="s">
        <v>19</v>
      </c>
      <c r="AS42" s="435" t="s">
        <v>1386</v>
      </c>
      <c r="AT42" s="435"/>
      <c r="AU42" s="434" t="s">
        <v>1384</v>
      </c>
      <c r="AV42" s="434" t="s">
        <v>1385</v>
      </c>
      <c r="AW42" s="434"/>
      <c r="AX42" s="435" t="s">
        <v>1386</v>
      </c>
      <c r="AY42" s="435"/>
      <c r="AZ42" s="434" t="s">
        <v>1384</v>
      </c>
      <c r="BA42" s="434" t="s">
        <v>1385</v>
      </c>
      <c r="BB42" s="434"/>
      <c r="BC42" s="435" t="s">
        <v>1386</v>
      </c>
      <c r="BD42" s="435"/>
      <c r="BE42" s="434" t="s">
        <v>1384</v>
      </c>
      <c r="BF42" s="434" t="s">
        <v>1385</v>
      </c>
      <c r="BG42" s="434"/>
      <c r="BH42" s="445"/>
      <c r="BI42" s="446"/>
      <c r="BJ42" s="467"/>
      <c r="BK42" s="441"/>
      <c r="BL42" s="442"/>
      <c r="BM42" s="433"/>
      <c r="BN42" s="433"/>
      <c r="BO42" s="433"/>
      <c r="BP42" s="433"/>
      <c r="BQ42" s="433"/>
      <c r="BR42" s="433"/>
      <c r="BS42" s="433"/>
      <c r="BT42" s="433"/>
      <c r="BU42" s="433"/>
      <c r="BV42" s="435"/>
      <c r="BW42" s="435"/>
      <c r="BX42" s="448" t="s">
        <v>18</v>
      </c>
      <c r="BY42" s="449"/>
      <c r="BZ42" s="449" t="s">
        <v>19</v>
      </c>
      <c r="CA42" s="435" t="s">
        <v>1386</v>
      </c>
      <c r="CB42" s="435"/>
      <c r="CC42" s="434" t="s">
        <v>1384</v>
      </c>
      <c r="CD42" s="434" t="s">
        <v>1385</v>
      </c>
      <c r="CE42" s="434"/>
      <c r="CF42" s="435" t="s">
        <v>1386</v>
      </c>
      <c r="CG42" s="435"/>
      <c r="CH42" s="434" t="s">
        <v>1384</v>
      </c>
      <c r="CI42" s="434" t="s">
        <v>1385</v>
      </c>
      <c r="CJ42" s="434"/>
      <c r="CK42" s="435" t="s">
        <v>1386</v>
      </c>
      <c r="CL42" s="435"/>
      <c r="CM42" s="434" t="s">
        <v>1384</v>
      </c>
      <c r="CN42" s="434" t="s">
        <v>1385</v>
      </c>
      <c r="CO42" s="434"/>
      <c r="CP42" s="445"/>
      <c r="CQ42" s="446"/>
      <c r="CR42" s="467"/>
      <c r="CS42" s="441"/>
      <c r="CT42" s="442"/>
      <c r="CU42" s="433"/>
      <c r="CV42" s="433"/>
      <c r="CW42" s="433"/>
      <c r="CX42" s="433"/>
      <c r="CY42" s="433"/>
      <c r="CZ42" s="433"/>
      <c r="DA42" s="433"/>
      <c r="DB42" s="433"/>
      <c r="DC42" s="433"/>
      <c r="DD42" s="435"/>
      <c r="DE42" s="435"/>
      <c r="DF42" s="448" t="s">
        <v>18</v>
      </c>
      <c r="DG42" s="449"/>
      <c r="DH42" s="449" t="s">
        <v>19</v>
      </c>
      <c r="DI42" s="435" t="s">
        <v>1386</v>
      </c>
      <c r="DJ42" s="435"/>
      <c r="DK42" s="434" t="s">
        <v>1384</v>
      </c>
      <c r="DL42" s="434" t="s">
        <v>1385</v>
      </c>
      <c r="DM42" s="434"/>
      <c r="DN42" s="435" t="s">
        <v>1386</v>
      </c>
      <c r="DO42" s="435"/>
      <c r="DP42" s="434" t="s">
        <v>1384</v>
      </c>
      <c r="DQ42" s="434" t="s">
        <v>1385</v>
      </c>
      <c r="DR42" s="434"/>
      <c r="DS42" s="435" t="s">
        <v>1386</v>
      </c>
      <c r="DT42" s="435"/>
      <c r="DU42" s="434" t="s">
        <v>1384</v>
      </c>
      <c r="DV42" s="434" t="s">
        <v>1385</v>
      </c>
      <c r="DW42" s="434"/>
      <c r="DX42" s="445"/>
      <c r="DY42" s="446"/>
      <c r="DZ42" s="467"/>
      <c r="EA42" s="441"/>
      <c r="EB42" s="442"/>
      <c r="EC42" s="433"/>
      <c r="ED42" s="433"/>
      <c r="EE42" s="433"/>
      <c r="EF42" s="433"/>
      <c r="EG42" s="433"/>
      <c r="EH42" s="433"/>
      <c r="EI42" s="433"/>
      <c r="EJ42" s="433"/>
      <c r="EK42" s="433"/>
      <c r="EL42" s="435"/>
      <c r="EM42" s="435"/>
      <c r="EN42" s="448" t="s">
        <v>18</v>
      </c>
      <c r="EO42" s="449"/>
      <c r="EP42" s="449" t="s">
        <v>19</v>
      </c>
      <c r="EQ42" s="435" t="s">
        <v>1386</v>
      </c>
      <c r="ER42" s="435"/>
      <c r="ES42" s="434" t="s">
        <v>1384</v>
      </c>
      <c r="ET42" s="434" t="s">
        <v>1385</v>
      </c>
      <c r="EU42" s="434"/>
      <c r="EV42" s="435" t="s">
        <v>1386</v>
      </c>
      <c r="EW42" s="435"/>
      <c r="EX42" s="434" t="s">
        <v>1384</v>
      </c>
      <c r="EY42" s="434" t="s">
        <v>1385</v>
      </c>
      <c r="EZ42" s="434"/>
      <c r="FA42" s="435" t="s">
        <v>1386</v>
      </c>
      <c r="FB42" s="435"/>
      <c r="FC42" s="434" t="s">
        <v>1384</v>
      </c>
      <c r="FD42" s="434" t="s">
        <v>1385</v>
      </c>
      <c r="FE42" s="434"/>
      <c r="FF42" s="445"/>
      <c r="FG42" s="446"/>
      <c r="FH42" s="467"/>
      <c r="FI42" s="441"/>
      <c r="FJ42" s="442"/>
      <c r="FK42" s="433"/>
      <c r="FL42" s="433"/>
      <c r="FM42" s="433"/>
      <c r="FN42" s="436"/>
      <c r="FO42" s="433" t="s">
        <v>1491</v>
      </c>
      <c r="FP42" s="433" t="s">
        <v>1491</v>
      </c>
      <c r="FQ42" s="433" t="s">
        <v>1491</v>
      </c>
      <c r="FR42" s="433" t="s">
        <v>1491</v>
      </c>
      <c r="FS42" s="345"/>
      <c r="FT42" s="345"/>
      <c r="FU42" s="345"/>
      <c r="FV42" s="345"/>
      <c r="FW42" s="345"/>
      <c r="FX42" s="345"/>
      <c r="FY42" s="345"/>
      <c r="FZ42" s="345"/>
      <c r="GA42" s="345"/>
      <c r="GB42" s="345"/>
      <c r="GC42" s="345"/>
      <c r="GD42" s="339"/>
      <c r="GE42" s="339"/>
    </row>
    <row r="43" spans="4:195" s="346" customFormat="1" ht="12" customHeight="1">
      <c r="E43" s="341"/>
      <c r="F43" s="342"/>
      <c r="G43" s="483"/>
      <c r="H43" s="342"/>
      <c r="I43" s="459"/>
      <c r="J43" s="495"/>
      <c r="K43" s="495"/>
      <c r="L43" s="495"/>
      <c r="M43" s="492"/>
      <c r="N43" s="492"/>
      <c r="O43" s="492"/>
      <c r="P43" s="459"/>
      <c r="Q43" s="459"/>
      <c r="R43" s="459"/>
      <c r="S43" s="459"/>
      <c r="T43" s="459"/>
      <c r="U43" s="459"/>
      <c r="V43" s="350"/>
      <c r="W43" s="351"/>
      <c r="X43" s="347"/>
      <c r="Y43" s="459"/>
      <c r="Z43" s="459"/>
      <c r="AA43" s="459"/>
      <c r="AB43" s="459"/>
      <c r="AC43" s="459"/>
      <c r="AD43" s="459"/>
      <c r="AE43" s="330" t="s">
        <v>1608</v>
      </c>
      <c r="AF43" s="330" t="s">
        <v>1607</v>
      </c>
      <c r="AG43" s="330" t="s">
        <v>1608</v>
      </c>
      <c r="AH43" s="330" t="s">
        <v>1607</v>
      </c>
      <c r="AI43" s="330" t="s">
        <v>1608</v>
      </c>
      <c r="AJ43" s="330" t="s">
        <v>1607</v>
      </c>
      <c r="AK43" s="433"/>
      <c r="AL43" s="433"/>
      <c r="AM43" s="433"/>
      <c r="AN43" s="330" t="s">
        <v>1608</v>
      </c>
      <c r="AO43" s="330" t="s">
        <v>1607</v>
      </c>
      <c r="AP43" s="331" t="s">
        <v>1608</v>
      </c>
      <c r="AQ43" s="330" t="s">
        <v>1607</v>
      </c>
      <c r="AR43" s="434"/>
      <c r="AS43" s="330" t="s">
        <v>1608</v>
      </c>
      <c r="AT43" s="330" t="s">
        <v>1607</v>
      </c>
      <c r="AU43" s="434"/>
      <c r="AV43" s="330" t="s">
        <v>1608</v>
      </c>
      <c r="AW43" s="330" t="s">
        <v>1607</v>
      </c>
      <c r="AX43" s="330" t="s">
        <v>1608</v>
      </c>
      <c r="AY43" s="330" t="s">
        <v>1607</v>
      </c>
      <c r="AZ43" s="434"/>
      <c r="BA43" s="330" t="s">
        <v>1608</v>
      </c>
      <c r="BB43" s="330" t="s">
        <v>1607</v>
      </c>
      <c r="BC43" s="330" t="s">
        <v>1608</v>
      </c>
      <c r="BD43" s="330" t="s">
        <v>1607</v>
      </c>
      <c r="BE43" s="434"/>
      <c r="BF43" s="330" t="s">
        <v>1608</v>
      </c>
      <c r="BG43" s="330" t="s">
        <v>1607</v>
      </c>
      <c r="BH43" s="330" t="s">
        <v>1608</v>
      </c>
      <c r="BI43" s="330" t="s">
        <v>1607</v>
      </c>
      <c r="BJ43" s="468"/>
      <c r="BK43" s="330" t="s">
        <v>1608</v>
      </c>
      <c r="BL43" s="330" t="s">
        <v>1607</v>
      </c>
      <c r="BM43" s="330" t="s">
        <v>1608</v>
      </c>
      <c r="BN43" s="330" t="s">
        <v>1607</v>
      </c>
      <c r="BO43" s="330" t="s">
        <v>1608</v>
      </c>
      <c r="BP43" s="330" t="s">
        <v>1607</v>
      </c>
      <c r="BQ43" s="330" t="s">
        <v>1608</v>
      </c>
      <c r="BR43" s="330" t="s">
        <v>1607</v>
      </c>
      <c r="BS43" s="433"/>
      <c r="BT43" s="433"/>
      <c r="BU43" s="433"/>
      <c r="BV43" s="330" t="s">
        <v>1608</v>
      </c>
      <c r="BW43" s="330" t="s">
        <v>1607</v>
      </c>
      <c r="BX43" s="331" t="s">
        <v>1608</v>
      </c>
      <c r="BY43" s="330" t="s">
        <v>1607</v>
      </c>
      <c r="BZ43" s="434"/>
      <c r="CA43" s="330" t="s">
        <v>1608</v>
      </c>
      <c r="CB43" s="330" t="s">
        <v>1607</v>
      </c>
      <c r="CC43" s="434"/>
      <c r="CD43" s="330" t="s">
        <v>1608</v>
      </c>
      <c r="CE43" s="330" t="s">
        <v>1607</v>
      </c>
      <c r="CF43" s="330" t="s">
        <v>1608</v>
      </c>
      <c r="CG43" s="330" t="s">
        <v>1607</v>
      </c>
      <c r="CH43" s="434"/>
      <c r="CI43" s="330" t="s">
        <v>1608</v>
      </c>
      <c r="CJ43" s="330" t="s">
        <v>1607</v>
      </c>
      <c r="CK43" s="330" t="s">
        <v>1608</v>
      </c>
      <c r="CL43" s="330" t="s">
        <v>1607</v>
      </c>
      <c r="CM43" s="434"/>
      <c r="CN43" s="330" t="s">
        <v>1608</v>
      </c>
      <c r="CO43" s="330" t="s">
        <v>1607</v>
      </c>
      <c r="CP43" s="330" t="s">
        <v>1608</v>
      </c>
      <c r="CQ43" s="330" t="s">
        <v>1607</v>
      </c>
      <c r="CR43" s="468"/>
      <c r="CS43" s="330" t="s">
        <v>1608</v>
      </c>
      <c r="CT43" s="330" t="s">
        <v>1607</v>
      </c>
      <c r="CU43" s="330" t="s">
        <v>1608</v>
      </c>
      <c r="CV43" s="330" t="s">
        <v>1607</v>
      </c>
      <c r="CW43" s="330" t="s">
        <v>1608</v>
      </c>
      <c r="CX43" s="330" t="s">
        <v>1607</v>
      </c>
      <c r="CY43" s="330" t="s">
        <v>1608</v>
      </c>
      <c r="CZ43" s="330" t="s">
        <v>1607</v>
      </c>
      <c r="DA43" s="433"/>
      <c r="DB43" s="433"/>
      <c r="DC43" s="433"/>
      <c r="DD43" s="330" t="s">
        <v>1608</v>
      </c>
      <c r="DE43" s="330" t="s">
        <v>1607</v>
      </c>
      <c r="DF43" s="331" t="s">
        <v>1608</v>
      </c>
      <c r="DG43" s="330" t="s">
        <v>1607</v>
      </c>
      <c r="DH43" s="434"/>
      <c r="DI43" s="330" t="s">
        <v>1608</v>
      </c>
      <c r="DJ43" s="330" t="s">
        <v>1607</v>
      </c>
      <c r="DK43" s="434"/>
      <c r="DL43" s="330" t="s">
        <v>1608</v>
      </c>
      <c r="DM43" s="330" t="s">
        <v>1607</v>
      </c>
      <c r="DN43" s="330" t="s">
        <v>1608</v>
      </c>
      <c r="DO43" s="330" t="s">
        <v>1607</v>
      </c>
      <c r="DP43" s="434"/>
      <c r="DQ43" s="330" t="s">
        <v>1608</v>
      </c>
      <c r="DR43" s="330" t="s">
        <v>1607</v>
      </c>
      <c r="DS43" s="330" t="s">
        <v>1608</v>
      </c>
      <c r="DT43" s="330" t="s">
        <v>1607</v>
      </c>
      <c r="DU43" s="434"/>
      <c r="DV43" s="330" t="s">
        <v>1608</v>
      </c>
      <c r="DW43" s="330" t="s">
        <v>1607</v>
      </c>
      <c r="DX43" s="330" t="s">
        <v>1608</v>
      </c>
      <c r="DY43" s="330" t="s">
        <v>1607</v>
      </c>
      <c r="DZ43" s="468"/>
      <c r="EA43" s="330" t="s">
        <v>1608</v>
      </c>
      <c r="EB43" s="330" t="s">
        <v>1607</v>
      </c>
      <c r="EC43" s="330" t="s">
        <v>1608</v>
      </c>
      <c r="ED43" s="330" t="s">
        <v>1607</v>
      </c>
      <c r="EE43" s="330" t="s">
        <v>1608</v>
      </c>
      <c r="EF43" s="330" t="s">
        <v>1607</v>
      </c>
      <c r="EG43" s="330" t="s">
        <v>1608</v>
      </c>
      <c r="EH43" s="330" t="s">
        <v>1607</v>
      </c>
      <c r="EI43" s="433"/>
      <c r="EJ43" s="433"/>
      <c r="EK43" s="433"/>
      <c r="EL43" s="330" t="s">
        <v>1608</v>
      </c>
      <c r="EM43" s="330" t="s">
        <v>1607</v>
      </c>
      <c r="EN43" s="331" t="s">
        <v>1608</v>
      </c>
      <c r="EO43" s="330" t="s">
        <v>1607</v>
      </c>
      <c r="EP43" s="434"/>
      <c r="EQ43" s="330" t="s">
        <v>1608</v>
      </c>
      <c r="ER43" s="330" t="s">
        <v>1607</v>
      </c>
      <c r="ES43" s="434"/>
      <c r="ET43" s="330" t="s">
        <v>1608</v>
      </c>
      <c r="EU43" s="330" t="s">
        <v>1607</v>
      </c>
      <c r="EV43" s="330" t="s">
        <v>1608</v>
      </c>
      <c r="EW43" s="330" t="s">
        <v>1607</v>
      </c>
      <c r="EX43" s="434"/>
      <c r="EY43" s="330" t="s">
        <v>1608</v>
      </c>
      <c r="EZ43" s="330" t="s">
        <v>1607</v>
      </c>
      <c r="FA43" s="330" t="s">
        <v>1608</v>
      </c>
      <c r="FB43" s="330" t="s">
        <v>1607</v>
      </c>
      <c r="FC43" s="434"/>
      <c r="FD43" s="330" t="s">
        <v>1608</v>
      </c>
      <c r="FE43" s="330" t="s">
        <v>1607</v>
      </c>
      <c r="FF43" s="330" t="s">
        <v>1608</v>
      </c>
      <c r="FG43" s="330" t="s">
        <v>1607</v>
      </c>
      <c r="FH43" s="468"/>
      <c r="FI43" s="330" t="s">
        <v>1608</v>
      </c>
      <c r="FJ43" s="330" t="s">
        <v>1607</v>
      </c>
      <c r="FK43" s="433"/>
      <c r="FL43" s="433"/>
      <c r="FM43" s="433"/>
      <c r="FN43" s="436"/>
      <c r="FO43" s="433"/>
      <c r="FP43" s="433"/>
      <c r="FQ43" s="433"/>
      <c r="FR43" s="433"/>
      <c r="FS43" s="345"/>
      <c r="FT43" s="345"/>
      <c r="FU43" s="345"/>
      <c r="FV43" s="345"/>
      <c r="FW43" s="345"/>
      <c r="FX43" s="345"/>
      <c r="FY43" s="345"/>
      <c r="FZ43" s="345"/>
      <c r="GA43" s="345"/>
      <c r="GB43" s="345"/>
      <c r="GC43" s="345"/>
      <c r="GD43" s="339"/>
      <c r="GE43" s="339"/>
    </row>
    <row r="44" spans="4:195" s="355" customFormat="1" ht="12" customHeight="1">
      <c r="I44" s="356" t="s">
        <v>1690</v>
      </c>
      <c r="J44" s="356" t="s">
        <v>1691</v>
      </c>
      <c r="K44" s="356" t="s">
        <v>1692</v>
      </c>
      <c r="L44" s="356" t="s">
        <v>1693</v>
      </c>
      <c r="M44" s="356" t="s">
        <v>1694</v>
      </c>
      <c r="N44" s="356" t="s">
        <v>1695</v>
      </c>
      <c r="O44" s="356" t="s">
        <v>1696</v>
      </c>
      <c r="P44" s="356" t="s">
        <v>1697</v>
      </c>
      <c r="Q44" s="356" t="s">
        <v>1698</v>
      </c>
      <c r="R44" s="356" t="s">
        <v>1699</v>
      </c>
      <c r="S44" s="356" t="s">
        <v>1700</v>
      </c>
      <c r="T44" s="356" t="s">
        <v>1701</v>
      </c>
      <c r="U44" s="356" t="s">
        <v>1702</v>
      </c>
      <c r="V44" s="356"/>
      <c r="W44" s="356"/>
      <c r="X44" s="356"/>
      <c r="Y44" s="356"/>
      <c r="Z44" s="356"/>
      <c r="AA44" s="356" t="s">
        <v>1703</v>
      </c>
      <c r="AB44" s="356" t="s">
        <v>1704</v>
      </c>
      <c r="AC44" s="356" t="s">
        <v>1705</v>
      </c>
      <c r="AD44" s="366"/>
      <c r="AE44" s="367" t="str">
        <f>"4" &amp; ".1.1.1"</f>
        <v>4.1.1.1</v>
      </c>
      <c r="AF44" s="367" t="str">
        <f>"4" &amp; ".1.1.2"</f>
        <v>4.1.1.2</v>
      </c>
      <c r="AG44" s="367" t="str">
        <f>"4" &amp; ".1.2.1"</f>
        <v>4.1.2.1</v>
      </c>
      <c r="AH44" s="367" t="str">
        <f>"4" &amp; ".1.2.2"</f>
        <v>4.1.2.2</v>
      </c>
      <c r="AI44" s="367" t="str">
        <f>"4" &amp; ".1.3.1"</f>
        <v>4.1.3.1</v>
      </c>
      <c r="AJ44" s="367" t="str">
        <f>"4" &amp; ".1.3.2"</f>
        <v>4.1.3.2</v>
      </c>
      <c r="AK44" s="367" t="str">
        <f>"4" &amp; ".2.1"</f>
        <v>4.2.1</v>
      </c>
      <c r="AL44" s="367" t="str">
        <f>"4" &amp; ".2.2"</f>
        <v>4.2.2</v>
      </c>
      <c r="AM44" s="367" t="str">
        <f>"4" &amp; ".2.3"</f>
        <v>4.2.3</v>
      </c>
      <c r="AN44" s="367" t="str">
        <f>"4" &amp; ".3.1"</f>
        <v>4.3.1</v>
      </c>
      <c r="AO44" s="367" t="str">
        <f>"4" &amp; ".3.2"</f>
        <v>4.3.2</v>
      </c>
      <c r="AP44" s="368" t="str">
        <f>"4" &amp; ".4.1.1"</f>
        <v>4.4.1.1</v>
      </c>
      <c r="AQ44" s="368" t="str">
        <f>"4" &amp; ".4.1.2"</f>
        <v>4.4.1.2</v>
      </c>
      <c r="AR44" s="368" t="str">
        <f>"4" &amp; ".4.2"</f>
        <v>4.4.2</v>
      </c>
      <c r="AS44" s="368" t="str">
        <f>"4" &amp; ".5.1.1"</f>
        <v>4.5.1.1</v>
      </c>
      <c r="AT44" s="368" t="str">
        <f>"4" &amp; ".5.1.2"</f>
        <v>4.5.1.2</v>
      </c>
      <c r="AU44" s="368" t="str">
        <f>"4" &amp; ".5.2"</f>
        <v>4.5.2</v>
      </c>
      <c r="AV44" s="368" t="str">
        <f>"4" &amp; ".5.3.1"</f>
        <v>4.5.3.1</v>
      </c>
      <c r="AW44" s="368" t="str">
        <f>"4" &amp; ".5.3.2"</f>
        <v>4.5.3.2</v>
      </c>
      <c r="AX44" s="368" t="str">
        <f>"4" &amp; ".6.1.1"</f>
        <v>4.6.1.1</v>
      </c>
      <c r="AY44" s="368" t="str">
        <f>"4" &amp; ".6.1.2"</f>
        <v>4.6.1.2</v>
      </c>
      <c r="AZ44" s="368" t="str">
        <f>"4" &amp; ".6.2"</f>
        <v>4.6.2</v>
      </c>
      <c r="BA44" s="368" t="str">
        <f>"4" &amp; ".6.3.1"</f>
        <v>4.6.3.1</v>
      </c>
      <c r="BB44" s="368" t="str">
        <f>"4" &amp; ".6.3.2"</f>
        <v>4.6.3.2</v>
      </c>
      <c r="BC44" s="368" t="str">
        <f>"4" &amp; ".7.1.1"</f>
        <v>4.7.1.1</v>
      </c>
      <c r="BD44" s="368" t="str">
        <f>"4" &amp; ".7.1.2"</f>
        <v>4.7.1.2</v>
      </c>
      <c r="BE44" s="368" t="str">
        <f>"4" &amp; ".7.2"</f>
        <v>4.7.2</v>
      </c>
      <c r="BF44" s="368" t="str">
        <f>"4" &amp; ".7.3.1"</f>
        <v>4.7.3.1</v>
      </c>
      <c r="BG44" s="368" t="str">
        <f>"4" &amp; ".7.3.2"</f>
        <v>4.7.3.2</v>
      </c>
      <c r="BH44" s="368" t="str">
        <f>"4" &amp; ".8.1"</f>
        <v>4.8.1</v>
      </c>
      <c r="BI44" s="368" t="str">
        <f>"4" &amp; ".8.2"</f>
        <v>4.8.2</v>
      </c>
      <c r="BJ44" s="368" t="str">
        <f>"4" &amp; ".9"</f>
        <v>4.9</v>
      </c>
      <c r="BK44" s="368" t="str">
        <f>"4" &amp; ".10.1"</f>
        <v>4.10.1</v>
      </c>
      <c r="BL44" s="368" t="str">
        <f>"4" &amp; ".10.2"</f>
        <v>4.10.2</v>
      </c>
      <c r="BM44" s="367" t="str">
        <f>"3" &amp; ".1.1.1"</f>
        <v>3.1.1.1</v>
      </c>
      <c r="BN44" s="367" t="str">
        <f>"3" &amp; ".1.1.2"</f>
        <v>3.1.1.2</v>
      </c>
      <c r="BO44" s="367" t="str">
        <f>"3" &amp; ".1.2.1"</f>
        <v>3.1.2.1</v>
      </c>
      <c r="BP44" s="367" t="str">
        <f>"3" &amp; ".1.2.2"</f>
        <v>3.1.2.2</v>
      </c>
      <c r="BQ44" s="367" t="str">
        <f>"3" &amp; ".1.3.1"</f>
        <v>3.1.3.1</v>
      </c>
      <c r="BR44" s="367" t="str">
        <f>"3" &amp; ".1.3.2"</f>
        <v>3.1.3.2</v>
      </c>
      <c r="BS44" s="367" t="str">
        <f>"3" &amp; ".2.1"</f>
        <v>3.2.1</v>
      </c>
      <c r="BT44" s="367" t="str">
        <f>"3" &amp; ".2.2"</f>
        <v>3.2.2</v>
      </c>
      <c r="BU44" s="367" t="str">
        <f>"3" &amp; ".2.3"</f>
        <v>3.2.3</v>
      </c>
      <c r="BV44" s="367" t="str">
        <f>"3" &amp; ".3.1"</f>
        <v>3.3.1</v>
      </c>
      <c r="BW44" s="367" t="str">
        <f>"3" &amp; ".3.2"</f>
        <v>3.3.2</v>
      </c>
      <c r="BX44" s="368" t="str">
        <f>"3" &amp; ".4.1.1"</f>
        <v>3.4.1.1</v>
      </c>
      <c r="BY44" s="368" t="str">
        <f>"3" &amp; ".4.1.2"</f>
        <v>3.4.1.2</v>
      </c>
      <c r="BZ44" s="368" t="str">
        <f>"3" &amp; ".4.2"</f>
        <v>3.4.2</v>
      </c>
      <c r="CA44" s="368" t="str">
        <f>"3" &amp; ".5.1.1"</f>
        <v>3.5.1.1</v>
      </c>
      <c r="CB44" s="368" t="str">
        <f>"3" &amp; ".5.1.2"</f>
        <v>3.5.1.2</v>
      </c>
      <c r="CC44" s="368" t="str">
        <f>"3" &amp; ".5.2"</f>
        <v>3.5.2</v>
      </c>
      <c r="CD44" s="368" t="str">
        <f>"3" &amp; ".5.3.1"</f>
        <v>3.5.3.1</v>
      </c>
      <c r="CE44" s="368" t="str">
        <f>"3" &amp; ".5.3.2"</f>
        <v>3.5.3.2</v>
      </c>
      <c r="CF44" s="368" t="str">
        <f>"3" &amp; ".6.1.1"</f>
        <v>3.6.1.1</v>
      </c>
      <c r="CG44" s="368" t="str">
        <f>"3" &amp; ".6.1.2"</f>
        <v>3.6.1.2</v>
      </c>
      <c r="CH44" s="368" t="str">
        <f>"3" &amp; ".6.2"</f>
        <v>3.6.2</v>
      </c>
      <c r="CI44" s="368" t="str">
        <f>"3" &amp; ".6.3.1"</f>
        <v>3.6.3.1</v>
      </c>
      <c r="CJ44" s="368" t="str">
        <f>"3" &amp; ".6.3.2"</f>
        <v>3.6.3.2</v>
      </c>
      <c r="CK44" s="368" t="str">
        <f>"3" &amp; ".7.1.1"</f>
        <v>3.7.1.1</v>
      </c>
      <c r="CL44" s="368" t="str">
        <f>"3" &amp; ".7.1.2"</f>
        <v>3.7.1.2</v>
      </c>
      <c r="CM44" s="368" t="str">
        <f>"3" &amp; ".7.2"</f>
        <v>3.7.2</v>
      </c>
      <c r="CN44" s="368" t="str">
        <f>"3" &amp; ".7.3.1"</f>
        <v>3.7.3.1</v>
      </c>
      <c r="CO44" s="368" t="str">
        <f>"3" &amp; ".7.3.2"</f>
        <v>3.7.3.2</v>
      </c>
      <c r="CP44" s="368" t="str">
        <f>"3" &amp; ".8.1"</f>
        <v>3.8.1</v>
      </c>
      <c r="CQ44" s="368" t="str">
        <f>"3" &amp; ".8.2"</f>
        <v>3.8.2</v>
      </c>
      <c r="CR44" s="368" t="str">
        <f>"3" &amp; ".9"</f>
        <v>3.9</v>
      </c>
      <c r="CS44" s="368" t="str">
        <f>"3" &amp; ".10.1"</f>
        <v>3.10.1</v>
      </c>
      <c r="CT44" s="368" t="str">
        <f>"3" &amp; ".10.2"</f>
        <v>3.10.2</v>
      </c>
      <c r="CU44" s="367" t="str">
        <f>"2" &amp; ".1.1.1"</f>
        <v>2.1.1.1</v>
      </c>
      <c r="CV44" s="367" t="str">
        <f>"2" &amp; ".1.1.2"</f>
        <v>2.1.1.2</v>
      </c>
      <c r="CW44" s="367" t="str">
        <f>"2" &amp; ".1.2.1"</f>
        <v>2.1.2.1</v>
      </c>
      <c r="CX44" s="367" t="str">
        <f>"2" &amp; ".1.2.2"</f>
        <v>2.1.2.2</v>
      </c>
      <c r="CY44" s="367" t="str">
        <f>"2" &amp; ".1.3.1"</f>
        <v>2.1.3.1</v>
      </c>
      <c r="CZ44" s="367" t="str">
        <f>"2" &amp; ".1.3.2"</f>
        <v>2.1.3.2</v>
      </c>
      <c r="DA44" s="367" t="str">
        <f>"2" &amp; ".2.1"</f>
        <v>2.2.1</v>
      </c>
      <c r="DB44" s="367" t="str">
        <f>"2" &amp; ".2.2"</f>
        <v>2.2.2</v>
      </c>
      <c r="DC44" s="367" t="str">
        <f>"2" &amp; ".2.3"</f>
        <v>2.2.3</v>
      </c>
      <c r="DD44" s="367" t="str">
        <f>"2" &amp; ".3.1"</f>
        <v>2.3.1</v>
      </c>
      <c r="DE44" s="367" t="str">
        <f>"2" &amp; ".3.2"</f>
        <v>2.3.2</v>
      </c>
      <c r="DF44" s="368" t="str">
        <f>"2" &amp; ".4.1.1"</f>
        <v>2.4.1.1</v>
      </c>
      <c r="DG44" s="368" t="str">
        <f>"2" &amp; ".4.1.2"</f>
        <v>2.4.1.2</v>
      </c>
      <c r="DH44" s="368" t="str">
        <f>"2" &amp; ".4.2"</f>
        <v>2.4.2</v>
      </c>
      <c r="DI44" s="368" t="str">
        <f>"2" &amp; ".5.1.1"</f>
        <v>2.5.1.1</v>
      </c>
      <c r="DJ44" s="368" t="str">
        <f>"2" &amp; ".5.1.2"</f>
        <v>2.5.1.2</v>
      </c>
      <c r="DK44" s="368" t="str">
        <f>"2" &amp; ".5.2"</f>
        <v>2.5.2</v>
      </c>
      <c r="DL44" s="368" t="str">
        <f>"2" &amp; ".5.3.1"</f>
        <v>2.5.3.1</v>
      </c>
      <c r="DM44" s="368" t="str">
        <f>"2" &amp; ".5.3.2"</f>
        <v>2.5.3.2</v>
      </c>
      <c r="DN44" s="368" t="str">
        <f>"2" &amp; ".6.1.1"</f>
        <v>2.6.1.1</v>
      </c>
      <c r="DO44" s="368" t="str">
        <f>"2" &amp; ".6.1.2"</f>
        <v>2.6.1.2</v>
      </c>
      <c r="DP44" s="368" t="str">
        <f>"2" &amp; ".6.2"</f>
        <v>2.6.2</v>
      </c>
      <c r="DQ44" s="368" t="str">
        <f>"2" &amp; ".6.3.1"</f>
        <v>2.6.3.1</v>
      </c>
      <c r="DR44" s="368" t="str">
        <f>"2" &amp; ".6.3.2"</f>
        <v>2.6.3.2</v>
      </c>
      <c r="DS44" s="368" t="str">
        <f>"2" &amp; ".7.1.1"</f>
        <v>2.7.1.1</v>
      </c>
      <c r="DT44" s="368" t="str">
        <f>"2" &amp; ".7.1.2"</f>
        <v>2.7.1.2</v>
      </c>
      <c r="DU44" s="368" t="str">
        <f>"2" &amp; ".7.2"</f>
        <v>2.7.2</v>
      </c>
      <c r="DV44" s="368" t="str">
        <f>"2" &amp; ".7.3.1"</f>
        <v>2.7.3.1</v>
      </c>
      <c r="DW44" s="368" t="str">
        <f>"2" &amp; ".7.3.2"</f>
        <v>2.7.3.2</v>
      </c>
      <c r="DX44" s="368" t="str">
        <f>"2" &amp; ".8.1"</f>
        <v>2.8.1</v>
      </c>
      <c r="DY44" s="368" t="str">
        <f>"2" &amp; ".8.2"</f>
        <v>2.8.2</v>
      </c>
      <c r="DZ44" s="368" t="str">
        <f>"2" &amp; ".9"</f>
        <v>2.9</v>
      </c>
      <c r="EA44" s="368" t="str">
        <f>"2" &amp; ".10.1"</f>
        <v>2.10.1</v>
      </c>
      <c r="EB44" s="368" t="str">
        <f>"2" &amp; ".10.2"</f>
        <v>2.10.2</v>
      </c>
      <c r="EC44" s="367" t="str">
        <f>"1" &amp; ".1.1.1"</f>
        <v>1.1.1.1</v>
      </c>
      <c r="ED44" s="367" t="str">
        <f>"1" &amp; ".1.1.2"</f>
        <v>1.1.1.2</v>
      </c>
      <c r="EE44" s="367" t="str">
        <f>"1" &amp; ".1.2.1"</f>
        <v>1.1.2.1</v>
      </c>
      <c r="EF44" s="367" t="str">
        <f>"1" &amp; ".1.2.2"</f>
        <v>1.1.2.2</v>
      </c>
      <c r="EG44" s="367" t="str">
        <f>"1" &amp; ".1.3.1"</f>
        <v>1.1.3.1</v>
      </c>
      <c r="EH44" s="367" t="str">
        <f>"1" &amp; ".1.3.2"</f>
        <v>1.1.3.2</v>
      </c>
      <c r="EI44" s="367" t="str">
        <f>"1" &amp; ".2.1"</f>
        <v>1.2.1</v>
      </c>
      <c r="EJ44" s="367" t="str">
        <f>"1" &amp; ".2.2"</f>
        <v>1.2.2</v>
      </c>
      <c r="EK44" s="367" t="str">
        <f>"1" &amp; ".2.3"</f>
        <v>1.2.3</v>
      </c>
      <c r="EL44" s="367" t="str">
        <f>"1" &amp; ".3.1"</f>
        <v>1.3.1</v>
      </c>
      <c r="EM44" s="367" t="str">
        <f>"1" &amp; ".3.2"</f>
        <v>1.3.2</v>
      </c>
      <c r="EN44" s="368" t="str">
        <f>"1" &amp; ".4.1.1"</f>
        <v>1.4.1.1</v>
      </c>
      <c r="EO44" s="368" t="str">
        <f>"1" &amp; ".4.1.2"</f>
        <v>1.4.1.2</v>
      </c>
      <c r="EP44" s="368" t="str">
        <f>"1" &amp; ".4.2"</f>
        <v>1.4.2</v>
      </c>
      <c r="EQ44" s="368" t="str">
        <f>"1" &amp; ".5.1.1"</f>
        <v>1.5.1.1</v>
      </c>
      <c r="ER44" s="368" t="str">
        <f>"1" &amp; ".5.1.2"</f>
        <v>1.5.1.2</v>
      </c>
      <c r="ES44" s="368" t="str">
        <f>"1" &amp; ".5.2"</f>
        <v>1.5.2</v>
      </c>
      <c r="ET44" s="368" t="str">
        <f>"1" &amp; ".5.3.1"</f>
        <v>1.5.3.1</v>
      </c>
      <c r="EU44" s="368" t="str">
        <f>"1" &amp; ".5.3.2"</f>
        <v>1.5.3.2</v>
      </c>
      <c r="EV44" s="368" t="str">
        <f>"1" &amp; ".6.1.1"</f>
        <v>1.6.1.1</v>
      </c>
      <c r="EW44" s="368" t="str">
        <f>"1" &amp; ".6.1.2"</f>
        <v>1.6.1.2</v>
      </c>
      <c r="EX44" s="368" t="str">
        <f>"1" &amp; ".6.2"</f>
        <v>1.6.2</v>
      </c>
      <c r="EY44" s="368" t="str">
        <f>"1" &amp; ".6.3.1"</f>
        <v>1.6.3.1</v>
      </c>
      <c r="EZ44" s="368" t="str">
        <f>"1" &amp; ".6.3.2"</f>
        <v>1.6.3.2</v>
      </c>
      <c r="FA44" s="368" t="str">
        <f>"1" &amp; ".7.1.1"</f>
        <v>1.7.1.1</v>
      </c>
      <c r="FB44" s="368" t="str">
        <f>"1" &amp; ".7.1.2"</f>
        <v>1.7.1.2</v>
      </c>
      <c r="FC44" s="368" t="str">
        <f>"1" &amp; ".7.2"</f>
        <v>1.7.2</v>
      </c>
      <c r="FD44" s="368" t="str">
        <f>"1" &amp; ".7.3.1"</f>
        <v>1.7.3.1</v>
      </c>
      <c r="FE44" s="368" t="str">
        <f>"1" &amp; ".7.3.2"</f>
        <v>1.7.3.2</v>
      </c>
      <c r="FF44" s="368" t="str">
        <f>"1" &amp; ".8.1"</f>
        <v>1.8.1</v>
      </c>
      <c r="FG44" s="368" t="str">
        <f>"1" &amp; ".8.2"</f>
        <v>1.8.2</v>
      </c>
      <c r="FH44" s="368" t="str">
        <f>"1" &amp; ".9"</f>
        <v>1.9</v>
      </c>
      <c r="FI44" s="368" t="str">
        <f>"1" &amp; ".10.1"</f>
        <v>1.10.1</v>
      </c>
      <c r="FJ44" s="368" t="str">
        <f>"1" &amp; ".10.2"</f>
        <v>1.10.2</v>
      </c>
      <c r="FK44" s="369"/>
      <c r="FL44" s="369"/>
      <c r="FM44" s="369"/>
      <c r="FN44" s="356" t="s">
        <v>1878</v>
      </c>
      <c r="FO44" s="370"/>
      <c r="FP44" s="370"/>
      <c r="FQ44" s="370"/>
      <c r="FR44" s="370"/>
      <c r="FS44" s="357"/>
      <c r="FT44" s="357"/>
      <c r="FU44" s="357"/>
      <c r="FV44" s="357"/>
      <c r="FW44" s="357"/>
      <c r="FX44" s="358"/>
      <c r="FY44" s="358"/>
      <c r="FZ44" s="358"/>
      <c r="GA44" s="359"/>
      <c r="GB44" s="359"/>
      <c r="GC44" s="359"/>
    </row>
    <row r="45" spans="4:195" s="58" customFormat="1" ht="12" hidden="1" customHeight="1">
      <c r="F45" s="59"/>
      <c r="G45" s="59"/>
      <c r="H45" s="59"/>
      <c r="I45" s="183" t="s">
        <v>1504</v>
      </c>
      <c r="J45" s="238"/>
      <c r="K45" s="238"/>
      <c r="L45" s="238"/>
      <c r="M45" s="238"/>
      <c r="N45" s="238"/>
      <c r="O45" s="238"/>
      <c r="P45" s="187"/>
      <c r="Q45" s="187"/>
      <c r="R45" s="184"/>
      <c r="S45" s="184"/>
      <c r="T45" s="184"/>
      <c r="U45" s="184"/>
      <c r="V45" s="180"/>
      <c r="W45" s="180"/>
      <c r="X45" s="180"/>
      <c r="Y45" s="184"/>
      <c r="Z45" s="184"/>
      <c r="AA45" s="188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4"/>
      <c r="BD45" s="184"/>
      <c r="BE45" s="184"/>
      <c r="BF45" s="184"/>
      <c r="BG45" s="184"/>
      <c r="BH45" s="184"/>
      <c r="BI45" s="184"/>
      <c r="BJ45" s="184"/>
      <c r="BK45" s="184"/>
      <c r="BL45" s="184"/>
      <c r="BM45" s="184"/>
      <c r="BN45" s="184"/>
      <c r="BO45" s="184"/>
      <c r="BP45" s="184"/>
      <c r="BQ45" s="184"/>
      <c r="BR45" s="184"/>
      <c r="BS45" s="184"/>
      <c r="BT45" s="184"/>
      <c r="BU45" s="184"/>
      <c r="BV45" s="184"/>
      <c r="BW45" s="184"/>
      <c r="BX45" s="184"/>
      <c r="BY45" s="184"/>
      <c r="BZ45" s="184"/>
      <c r="CA45" s="184"/>
      <c r="CB45" s="184"/>
      <c r="CC45" s="184"/>
      <c r="CD45" s="184"/>
      <c r="CE45" s="184"/>
      <c r="CF45" s="184"/>
      <c r="CG45" s="184"/>
      <c r="CH45" s="184"/>
      <c r="CI45" s="184"/>
      <c r="CJ45" s="184"/>
      <c r="CK45" s="184"/>
      <c r="CL45" s="184"/>
      <c r="CM45" s="184"/>
      <c r="CN45" s="184"/>
      <c r="CO45" s="184"/>
      <c r="CP45" s="184"/>
      <c r="CQ45" s="184"/>
      <c r="CR45" s="184"/>
      <c r="CS45" s="184"/>
      <c r="CT45" s="184"/>
      <c r="CU45" s="184"/>
      <c r="CV45" s="184"/>
      <c r="CW45" s="184"/>
      <c r="CX45" s="184"/>
      <c r="CY45" s="184"/>
      <c r="CZ45" s="184"/>
      <c r="DA45" s="184"/>
      <c r="DB45" s="184"/>
      <c r="DC45" s="184"/>
      <c r="DD45" s="184"/>
      <c r="DE45" s="184"/>
      <c r="DF45" s="184"/>
      <c r="DG45" s="184"/>
      <c r="DH45" s="184"/>
      <c r="DI45" s="184"/>
      <c r="DJ45" s="184"/>
      <c r="DK45" s="184"/>
      <c r="DL45" s="184"/>
      <c r="DM45" s="184"/>
      <c r="DN45" s="184"/>
      <c r="DO45" s="184"/>
      <c r="DP45" s="184"/>
      <c r="DQ45" s="184"/>
      <c r="DR45" s="184"/>
      <c r="DS45" s="184"/>
      <c r="DT45" s="184"/>
      <c r="DU45" s="184"/>
      <c r="DV45" s="184"/>
      <c r="DW45" s="184"/>
      <c r="DX45" s="184"/>
      <c r="DY45" s="184"/>
      <c r="DZ45" s="184"/>
      <c r="EA45" s="184"/>
      <c r="EB45" s="184"/>
      <c r="EC45" s="184"/>
      <c r="ED45" s="184"/>
      <c r="EE45" s="184"/>
      <c r="EF45" s="184"/>
      <c r="EG45" s="184"/>
      <c r="EH45" s="184"/>
      <c r="EI45" s="184"/>
      <c r="EJ45" s="184"/>
      <c r="EK45" s="184"/>
      <c r="EL45" s="184"/>
      <c r="EM45" s="184"/>
      <c r="EN45" s="184"/>
      <c r="EO45" s="184"/>
      <c r="EP45" s="184"/>
      <c r="EQ45" s="184"/>
      <c r="ER45" s="184"/>
      <c r="ES45" s="184"/>
      <c r="ET45" s="184"/>
      <c r="EU45" s="184"/>
      <c r="EV45" s="184"/>
      <c r="EW45" s="184"/>
      <c r="EX45" s="184"/>
      <c r="EY45" s="189"/>
      <c r="EZ45" s="189"/>
      <c r="FA45" s="189"/>
      <c r="FB45" s="189"/>
      <c r="FC45" s="189"/>
      <c r="FD45" s="189"/>
      <c r="FE45" s="189"/>
      <c r="FF45" s="189"/>
      <c r="FG45" s="189"/>
      <c r="FH45" s="189"/>
      <c r="FI45" s="189"/>
      <c r="FJ45" s="189"/>
      <c r="FK45" s="189"/>
      <c r="FL45" s="189"/>
      <c r="FM45" s="189"/>
      <c r="FN45" s="189"/>
      <c r="FO45" s="189"/>
      <c r="FP45" s="189"/>
      <c r="FQ45" s="189"/>
      <c r="FR45" s="190"/>
      <c r="FS45" s="135"/>
      <c r="FT45" s="135"/>
      <c r="FU45" s="135"/>
      <c r="FV45" s="135"/>
      <c r="FW45" s="135"/>
      <c r="FX45" s="63"/>
      <c r="FY45" s="63"/>
      <c r="FZ45" s="63"/>
      <c r="GA45" s="9"/>
      <c r="GB45" s="9"/>
      <c r="GC45" s="9"/>
    </row>
    <row r="46" spans="4:195" s="1" customFormat="1" ht="11.25" customHeight="1">
      <c r="D46"/>
      <c r="E46"/>
      <c r="F46" s="200"/>
      <c r="G46" s="406"/>
      <c r="H46" s="411" t="s">
        <v>1703</v>
      </c>
      <c r="I46" s="412" t="s">
        <v>36</v>
      </c>
      <c r="J46" s="417" t="s">
        <v>70</v>
      </c>
      <c r="K46" s="417" t="s">
        <v>70</v>
      </c>
      <c r="L46" s="419" t="s">
        <v>71</v>
      </c>
      <c r="M46" s="418" t="s">
        <v>108</v>
      </c>
      <c r="N46" s="418" t="s">
        <v>73</v>
      </c>
      <c r="O46" s="418" t="s">
        <v>109</v>
      </c>
      <c r="P46" s="415" t="s">
        <v>1758</v>
      </c>
      <c r="Q46" s="416" t="s">
        <v>1722</v>
      </c>
      <c r="R46" s="426" t="s">
        <v>75</v>
      </c>
      <c r="S46" s="410" t="s">
        <v>110</v>
      </c>
      <c r="T46" s="432" t="s">
        <v>1540</v>
      </c>
      <c r="U46" s="412" t="s">
        <v>1722</v>
      </c>
      <c r="Y46" s="425" t="s">
        <v>1332</v>
      </c>
      <c r="Z46" s="286" t="s">
        <v>1706</v>
      </c>
      <c r="AA46" s="286" t="s">
        <v>1724</v>
      </c>
      <c r="AB46" s="265"/>
      <c r="AC46" s="265"/>
      <c r="AD46" s="265"/>
      <c r="AE46" s="265"/>
      <c r="AF46" s="265"/>
      <c r="AG46" s="265"/>
      <c r="AH46" s="265"/>
      <c r="AI46" s="265"/>
      <c r="AJ46" s="265"/>
      <c r="AK46" s="265"/>
      <c r="AL46" s="265"/>
      <c r="AM46" s="265"/>
      <c r="AN46" s="265"/>
      <c r="AO46" s="265"/>
      <c r="AP46" s="265"/>
      <c r="AQ46" s="265"/>
      <c r="AR46" s="265"/>
      <c r="AS46" s="265"/>
      <c r="AT46" s="265"/>
      <c r="AU46" s="265"/>
      <c r="AV46" s="265"/>
      <c r="AW46" s="265"/>
      <c r="AX46" s="265"/>
      <c r="AY46" s="265"/>
      <c r="AZ46" s="265"/>
      <c r="BA46" s="265"/>
      <c r="BB46" s="265"/>
      <c r="BC46" s="265"/>
      <c r="BD46" s="265"/>
      <c r="BE46" s="265"/>
      <c r="BF46" s="265"/>
      <c r="BG46" s="265"/>
      <c r="BH46" s="265"/>
      <c r="BI46" s="265"/>
      <c r="BJ46" s="265"/>
      <c r="BK46" s="265"/>
      <c r="BL46" s="265"/>
      <c r="BM46" s="265"/>
      <c r="BN46" s="265"/>
      <c r="BO46" s="265"/>
      <c r="BP46" s="265"/>
      <c r="BQ46" s="265"/>
      <c r="BR46" s="265"/>
      <c r="BS46" s="265"/>
      <c r="BT46" s="265"/>
      <c r="BU46" s="265"/>
      <c r="BV46" s="265"/>
      <c r="BW46" s="265"/>
      <c r="BX46" s="265"/>
      <c r="BY46" s="265"/>
      <c r="BZ46" s="265"/>
      <c r="CA46" s="265"/>
      <c r="CB46" s="265"/>
      <c r="CC46" s="265"/>
      <c r="CD46" s="265"/>
      <c r="CE46" s="265"/>
      <c r="CF46" s="265"/>
      <c r="CG46" s="265"/>
      <c r="CH46" s="265"/>
      <c r="CI46" s="265"/>
      <c r="CJ46" s="265"/>
      <c r="CK46" s="265"/>
      <c r="CL46" s="265"/>
      <c r="CM46" s="265"/>
      <c r="CN46" s="265"/>
      <c r="CO46" s="265"/>
      <c r="CP46" s="265"/>
      <c r="CQ46" s="265"/>
      <c r="CR46" s="265"/>
      <c r="CS46" s="265"/>
      <c r="CT46" s="265"/>
      <c r="CU46" s="265"/>
      <c r="CV46" s="265"/>
      <c r="CW46" s="265"/>
      <c r="CX46" s="265"/>
      <c r="CY46" s="265"/>
      <c r="CZ46" s="265"/>
      <c r="DA46" s="265"/>
      <c r="DB46" s="265"/>
      <c r="DC46" s="265"/>
      <c r="DD46" s="265"/>
      <c r="DE46" s="265"/>
      <c r="DF46" s="265"/>
      <c r="DG46" s="265"/>
      <c r="DH46" s="265"/>
      <c r="DI46" s="265"/>
      <c r="DJ46" s="265"/>
      <c r="DK46" s="265"/>
      <c r="DL46" s="265"/>
      <c r="DM46" s="265"/>
      <c r="DN46" s="265"/>
      <c r="DO46" s="265"/>
      <c r="DP46" s="265"/>
      <c r="DQ46" s="265"/>
      <c r="DR46" s="265"/>
      <c r="DS46" s="265"/>
      <c r="DT46" s="265"/>
      <c r="DU46" s="265"/>
      <c r="DV46" s="265"/>
      <c r="DW46" s="265"/>
      <c r="DX46" s="265"/>
      <c r="DY46" s="265"/>
      <c r="DZ46" s="265"/>
      <c r="EA46" s="265"/>
      <c r="EB46" s="265"/>
      <c r="EC46" s="265"/>
      <c r="ED46" s="265"/>
      <c r="EE46" s="265"/>
      <c r="EF46" s="265"/>
      <c r="EG46" s="265"/>
      <c r="EH46" s="265"/>
      <c r="EI46" s="265"/>
      <c r="EJ46" s="265"/>
      <c r="EK46" s="265"/>
      <c r="EL46" s="265"/>
      <c r="EM46" s="265"/>
      <c r="EN46" s="265"/>
      <c r="EO46" s="265"/>
      <c r="EP46" s="265"/>
      <c r="EQ46" s="265"/>
      <c r="ER46" s="265"/>
      <c r="ES46" s="265"/>
      <c r="ET46" s="265"/>
      <c r="EU46" s="265"/>
      <c r="EV46" s="265"/>
      <c r="EW46" s="265"/>
      <c r="EX46" s="265"/>
      <c r="EY46" s="265"/>
      <c r="EZ46" s="265"/>
      <c r="FA46" s="265"/>
      <c r="FB46" s="265"/>
      <c r="FC46" s="265"/>
      <c r="FD46" s="265"/>
      <c r="FE46" s="265"/>
      <c r="FF46" s="265"/>
      <c r="FG46" s="265"/>
      <c r="FH46" s="265"/>
      <c r="FI46" s="265"/>
      <c r="FJ46" s="265"/>
      <c r="FK46" s="265"/>
      <c r="FL46" s="265"/>
      <c r="FM46" s="265"/>
      <c r="FN46" s="427" t="s">
        <v>1722</v>
      </c>
      <c r="FO46" s="268"/>
      <c r="FP46" s="265"/>
      <c r="FQ46" s="265"/>
      <c r="FR46" s="269"/>
      <c r="FS46" s="202"/>
      <c r="FT46" s="202"/>
      <c r="FU46" s="202"/>
      <c r="FV46" s="202"/>
      <c r="FW46" s="202"/>
      <c r="FX46" s="202"/>
      <c r="FY46" s="202"/>
      <c r="FZ46" s="203"/>
      <c r="GA46" s="19"/>
      <c r="GD46" s="268"/>
      <c r="GE46" s="265"/>
      <c r="GF46" s="265"/>
      <c r="GG46" s="265"/>
      <c r="GH46" s="265"/>
      <c r="GI46" s="269"/>
      <c r="GJ46" s="10"/>
      <c r="GK46" s="10"/>
      <c r="GL46" s="10"/>
      <c r="GM46" s="10"/>
    </row>
    <row r="47" spans="4:195" s="75" customFormat="1" ht="12" customHeight="1">
      <c r="F47" s="200"/>
      <c r="G47" s="406"/>
      <c r="H47" s="411"/>
      <c r="I47" s="412"/>
      <c r="J47" s="417"/>
      <c r="K47" s="417"/>
      <c r="L47" s="419"/>
      <c r="M47" s="418"/>
      <c r="N47" s="418"/>
      <c r="O47" s="418"/>
      <c r="P47" s="415"/>
      <c r="Q47" s="416"/>
      <c r="R47" s="426"/>
      <c r="S47" s="410"/>
      <c r="T47" s="432"/>
      <c r="U47" s="412"/>
      <c r="V47"/>
      <c r="W47"/>
      <c r="X47"/>
      <c r="Y47" s="425"/>
      <c r="Z47" s="112"/>
      <c r="AA47" s="424">
        <v>1</v>
      </c>
      <c r="AB47" s="413" t="s">
        <v>1524</v>
      </c>
      <c r="AC47" s="114" t="s">
        <v>1650</v>
      </c>
      <c r="AD47" s="191" t="str">
        <f t="shared" ref="AD47:AD64" si="143">AC47 &amp; " :: " &amp; FL47</f>
        <v>Газ лимитный :: ACTI</v>
      </c>
      <c r="AE47" s="117">
        <v>5343.5150000000003</v>
      </c>
      <c r="AF47" s="116">
        <f t="shared" ref="AF47:AF55" si="144">IF($FK47="да",AE47*1.18,AE47)</f>
        <v>5343.5150000000003</v>
      </c>
      <c r="AG47" s="117">
        <v>5988.53</v>
      </c>
      <c r="AH47" s="116">
        <f>IF($FK47="да",AG47*1.18,AG47)</f>
        <v>5988.53</v>
      </c>
      <c r="AI47" s="185">
        <f t="shared" ref="AI47:AI55" si="145">IF(AM47=0,0,AN47/AM47*1000)</f>
        <v>5131.5595544130229</v>
      </c>
      <c r="AJ47" s="185">
        <f t="shared" ref="AJ47:AJ55" si="146">IF(AM47=0,0,AO47/AM47*1000)</f>
        <v>5131.5595544130229</v>
      </c>
      <c r="AK47" s="122">
        <v>126.85</v>
      </c>
      <c r="AL47" s="122">
        <v>1.167</v>
      </c>
      <c r="AM47" s="123">
        <f t="shared" ref="AM47:AM55" si="147">AK47*AL47</f>
        <v>148.03395</v>
      </c>
      <c r="AN47" s="123">
        <f>AG47*AK47/1000</f>
        <v>759.64503049999985</v>
      </c>
      <c r="AO47" s="116">
        <f t="shared" ref="AO47:AO55" si="148">IF($FK47="да",AN47*1.18,AN47)</f>
        <v>759.64503049999985</v>
      </c>
      <c r="AP47" s="117"/>
      <c r="AQ47" s="116">
        <f>IF($FK47="да",AP47*1.18,AP47)</f>
        <v>0</v>
      </c>
      <c r="AR47" s="117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218">
        <v>4628.09</v>
      </c>
      <c r="BN47" s="116">
        <f t="shared" ref="BN47:BN55" si="149">IF($FK47="да",BM47*1.18,BM47)</f>
        <v>4628.09</v>
      </c>
      <c r="BO47" s="218">
        <v>5974.9</v>
      </c>
      <c r="BP47" s="116">
        <f>IF($FK47="да",BO47*1.18,BO47)</f>
        <v>5974.9</v>
      </c>
      <c r="BQ47" s="185">
        <f t="shared" ref="BQ47:BQ55" si="150">IF(BU47=0,0,BV47/BU47*1000)</f>
        <v>5150.7758620689656</v>
      </c>
      <c r="BR47" s="185">
        <f t="shared" ref="BR47:BR55" si="151">IF(BU47=0,0,BW47/BU47*1000)</f>
        <v>5150.7758620689656</v>
      </c>
      <c r="BS47" s="365">
        <v>84.84</v>
      </c>
      <c r="BT47" s="365">
        <v>1.1599999999999999</v>
      </c>
      <c r="BU47" s="123">
        <f t="shared" ref="BU47:BU55" si="152">BS47*BT47</f>
        <v>98.414400000000001</v>
      </c>
      <c r="BV47" s="123">
        <f>BO47*BS47/1000</f>
        <v>506.91051600000003</v>
      </c>
      <c r="BW47" s="116">
        <f t="shared" ref="BW47:BW55" si="153">IF($FK47="да",BV47*1.18,BV47)</f>
        <v>506.91051600000003</v>
      </c>
      <c r="BX47" s="218"/>
      <c r="BY47" s="116">
        <f>IF($FK47="да",BX47*1.18,BX47)</f>
        <v>0</v>
      </c>
      <c r="BZ47" s="218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218">
        <v>4628.0919999999996</v>
      </c>
      <c r="CV47" s="116">
        <f t="shared" ref="CV47:CV55" si="154">IF($FK47="да",CU47*1.18,CU47)</f>
        <v>4628.0919999999996</v>
      </c>
      <c r="CW47" s="218">
        <v>5974.9</v>
      </c>
      <c r="CX47" s="116">
        <f>IF($FK47="да",CW47*1.18,CW47)</f>
        <v>5974.9</v>
      </c>
      <c r="CY47" s="185">
        <f t="shared" ref="CY47:CY55" si="155">IF(DC47=0,0,DD47/DC47*1000)</f>
        <v>5134.3989000601523</v>
      </c>
      <c r="CZ47" s="185">
        <f t="shared" ref="CZ47:CZ55" si="156">IF(DC47=0,0,DE47/DC47*1000)</f>
        <v>5134.3989000601523</v>
      </c>
      <c r="DA47" s="365">
        <v>84.838999999999999</v>
      </c>
      <c r="DB47" s="365">
        <v>1.1637</v>
      </c>
      <c r="DC47" s="123">
        <f t="shared" ref="DC47:DC55" si="157">DA47*DB47</f>
        <v>98.727144299999992</v>
      </c>
      <c r="DD47" s="123">
        <f>CW47*DA47/1000</f>
        <v>506.90454109999996</v>
      </c>
      <c r="DE47" s="116">
        <f t="shared" ref="DE47:DE55" si="158">IF($FK47="да",DD47*1.18,DD47)</f>
        <v>506.90454109999996</v>
      </c>
      <c r="DF47" s="218"/>
      <c r="DG47" s="116">
        <f>IF($FK47="да",DF47*1.18,DF47)</f>
        <v>0</v>
      </c>
      <c r="DH47" s="218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218">
        <v>4545.4139999999998</v>
      </c>
      <c r="ED47" s="116">
        <f t="shared" ref="ED47:ED55" si="159">IF($FK47="да",EC47*1.18,EC47)</f>
        <v>4545.4139999999998</v>
      </c>
      <c r="EE47" s="218">
        <v>5972.3</v>
      </c>
      <c r="EF47" s="116">
        <f>IF($FK47="да",EE47*1.18,EE47)</f>
        <v>5972.3</v>
      </c>
      <c r="EG47" s="185">
        <f t="shared" ref="EG47:EG55" si="160">IF(EK47=0,0,EL47/EK47*1000)</f>
        <v>5134.8121399707688</v>
      </c>
      <c r="EH47" s="185">
        <f t="shared" ref="EH47:EH55" si="161">IF(EK47=0,0,EM47/EK47*1000)</f>
        <v>5134.8121399707688</v>
      </c>
      <c r="EI47" s="365">
        <v>73.268000000000001</v>
      </c>
      <c r="EJ47" s="365">
        <v>1.1631</v>
      </c>
      <c r="EK47" s="123">
        <f t="shared" ref="EK47:EK55" si="162">EI47*EJ47</f>
        <v>85.218010800000002</v>
      </c>
      <c r="EL47" s="123">
        <f>EE47*EI47/1000</f>
        <v>437.57847640000006</v>
      </c>
      <c r="EM47" s="116">
        <f t="shared" ref="EM47:EM55" si="163">IF($FK47="да",EL47*1.18,EL47)</f>
        <v>437.57847640000006</v>
      </c>
      <c r="EN47" s="218"/>
      <c r="EO47" s="116">
        <f>IF($FK47="да",EN47*1.18,EN47)</f>
        <v>0</v>
      </c>
      <c r="EP47" s="218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  <c r="FK47" s="110" t="str">
        <f>$T46</f>
        <v>нет</v>
      </c>
      <c r="FL47" s="118" t="str">
        <f>IF($G46="","ACTI","DELD")</f>
        <v>ACTI</v>
      </c>
      <c r="FM47" s="119" t="str">
        <f>$I46 &amp; "." &amp; $AA47 &amp; ".1"</f>
        <v>1.1.1</v>
      </c>
      <c r="FN47" s="427"/>
      <c r="FO47" s="423"/>
      <c r="FP47" s="420"/>
      <c r="FQ47" s="420"/>
      <c r="FR47" s="420"/>
      <c r="FS47" s="204">
        <f t="shared" ref="FS47:FS64" si="164">SUM(AE47:FJ47)</f>
        <v>132441.49634612584</v>
      </c>
      <c r="FT47" s="9"/>
      <c r="FU47" s="9"/>
      <c r="FV47" s="9"/>
      <c r="FW47" s="9"/>
      <c r="FX47" s="205"/>
      <c r="FY47" s="9"/>
      <c r="FZ47" s="206"/>
      <c r="GA47" s="46"/>
      <c r="GD47" s="192" t="str">
        <f>M46</f>
        <v>2633001132</v>
      </c>
      <c r="GE47" s="192" t="str">
        <f>N46</f>
        <v>263601001</v>
      </c>
      <c r="GF47" s="193" t="str">
        <f>MID(Q46,1,50) &amp; LEN(Q46)</f>
        <v>0</v>
      </c>
      <c r="GG47" s="192" t="str">
        <f>IF(S46="производство комбинированная выработка","COGENERATION","HEATING")</f>
        <v>HEATING</v>
      </c>
      <c r="GH47" s="194" t="str">
        <f>AD47</f>
        <v>Газ лимитный :: ACTI</v>
      </c>
      <c r="GI47" s="194" t="str">
        <f>GD47 &amp; "::" &amp; GE47 &amp; "::" &amp; GF47 &amp; "::" &amp; GG47 &amp; "::" &amp; GH47</f>
        <v>2633001132::263601001::0::HEATING::Газ лимитный :: ACTI</v>
      </c>
      <c r="GJ47" s="10"/>
      <c r="GK47" s="10"/>
      <c r="GL47" s="10"/>
      <c r="GM47" s="10"/>
    </row>
    <row r="48" spans="4:195" s="75" customFormat="1" ht="12" customHeight="1">
      <c r="F48" s="200"/>
      <c r="G48" s="406"/>
      <c r="H48" s="411"/>
      <c r="I48" s="412"/>
      <c r="J48" s="417"/>
      <c r="K48" s="417"/>
      <c r="L48" s="419"/>
      <c r="M48" s="418"/>
      <c r="N48" s="418"/>
      <c r="O48" s="418"/>
      <c r="P48" s="415"/>
      <c r="Q48" s="416"/>
      <c r="R48" s="426"/>
      <c r="S48" s="410"/>
      <c r="T48" s="432"/>
      <c r="U48" s="412"/>
      <c r="V48"/>
      <c r="W48"/>
      <c r="X48"/>
      <c r="Y48" s="425"/>
      <c r="Z48" s="112"/>
      <c r="AA48" s="424"/>
      <c r="AB48" s="421"/>
      <c r="AC48" s="114" t="s">
        <v>1651</v>
      </c>
      <c r="AD48" s="191" t="str">
        <f t="shared" si="143"/>
        <v>Газ сверхлимитный :: ACTI</v>
      </c>
      <c r="AE48" s="117">
        <v>7915.4620000000004</v>
      </c>
      <c r="AF48" s="116">
        <f t="shared" si="144"/>
        <v>7915.4620000000004</v>
      </c>
      <c r="AG48" s="117">
        <v>8882.4</v>
      </c>
      <c r="AH48" s="116">
        <f>IF($FK48="да",AG48*1.18,AG48)</f>
        <v>8882.4</v>
      </c>
      <c r="AI48" s="185">
        <f t="shared" si="145"/>
        <v>7611.3110539845748</v>
      </c>
      <c r="AJ48" s="185">
        <f t="shared" si="146"/>
        <v>7611.3110539845748</v>
      </c>
      <c r="AK48" s="122">
        <v>17.849</v>
      </c>
      <c r="AL48" s="122">
        <v>1.167</v>
      </c>
      <c r="AM48" s="123">
        <f t="shared" si="147"/>
        <v>20.829783000000003</v>
      </c>
      <c r="AN48" s="123">
        <f>AG48*AK48/1000</f>
        <v>158.54195759999999</v>
      </c>
      <c r="AO48" s="116">
        <f t="shared" si="148"/>
        <v>158.54195759999999</v>
      </c>
      <c r="AP48" s="117"/>
      <c r="AQ48" s="116">
        <f>IF($FK48="да",AP48*1.18,AP48)</f>
        <v>0</v>
      </c>
      <c r="AR48" s="117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218">
        <v>7711.29</v>
      </c>
      <c r="BN48" s="116">
        <f t="shared" si="149"/>
        <v>7711.29</v>
      </c>
      <c r="BO48" s="218">
        <v>8852.6</v>
      </c>
      <c r="BP48" s="116">
        <f>IF($FK48="да",BO48*1.18,BO48)</f>
        <v>8852.6</v>
      </c>
      <c r="BQ48" s="185">
        <f t="shared" si="150"/>
        <v>7631.5517241379321</v>
      </c>
      <c r="BR48" s="185">
        <f t="shared" si="151"/>
        <v>7631.5517241379321</v>
      </c>
      <c r="BS48" s="365">
        <v>10.7</v>
      </c>
      <c r="BT48" s="365">
        <v>1.1599999999999999</v>
      </c>
      <c r="BU48" s="123">
        <f t="shared" si="152"/>
        <v>12.411999999999999</v>
      </c>
      <c r="BV48" s="123">
        <f>BO48*BS48/1000</f>
        <v>94.722819999999999</v>
      </c>
      <c r="BW48" s="116">
        <f t="shared" si="153"/>
        <v>94.722819999999999</v>
      </c>
      <c r="BX48" s="218"/>
      <c r="BY48" s="116">
        <f>IF($FK48="да",BX48*1.18,BX48)</f>
        <v>0</v>
      </c>
      <c r="BZ48" s="218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218">
        <v>7711.29</v>
      </c>
      <c r="CV48" s="116">
        <f t="shared" si="154"/>
        <v>7711.29</v>
      </c>
      <c r="CW48" s="218">
        <v>8852.6</v>
      </c>
      <c r="CX48" s="116">
        <f>IF($FK48="да",CW48*1.18,CW48)</f>
        <v>8852.6</v>
      </c>
      <c r="CY48" s="185">
        <f t="shared" si="155"/>
        <v>7607.2871014866378</v>
      </c>
      <c r="CZ48" s="185">
        <f t="shared" si="156"/>
        <v>7607.2871014866378</v>
      </c>
      <c r="DA48" s="365">
        <v>10.696</v>
      </c>
      <c r="DB48" s="365">
        <v>1.1637</v>
      </c>
      <c r="DC48" s="123">
        <f t="shared" si="157"/>
        <v>12.446935199999999</v>
      </c>
      <c r="DD48" s="123">
        <f>CW48*DA48/1000</f>
        <v>94.687409599999995</v>
      </c>
      <c r="DE48" s="116">
        <f t="shared" si="158"/>
        <v>94.687409599999995</v>
      </c>
      <c r="DF48" s="218"/>
      <c r="DG48" s="116">
        <f>IF($FK48="да",DF48*1.18,DF48)</f>
        <v>0</v>
      </c>
      <c r="DH48" s="218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218">
        <v>7711.2879999999996</v>
      </c>
      <c r="ED48" s="116">
        <f t="shared" si="159"/>
        <v>7711.2879999999996</v>
      </c>
      <c r="EE48" s="218">
        <v>8852.6</v>
      </c>
      <c r="EF48" s="116">
        <f>IF($FK48="да",EE48*1.18,EE48)</f>
        <v>8852.6</v>
      </c>
      <c r="EG48" s="185">
        <f t="shared" si="160"/>
        <v>7611.2114177628746</v>
      </c>
      <c r="EH48" s="185">
        <f t="shared" si="161"/>
        <v>7611.2114177628746</v>
      </c>
      <c r="EI48" s="365">
        <v>10.696</v>
      </c>
      <c r="EJ48" s="365">
        <v>1.1631</v>
      </c>
      <c r="EK48" s="123">
        <f t="shared" si="162"/>
        <v>12.4405176</v>
      </c>
      <c r="EL48" s="123">
        <f>EE48*EI48/1000</f>
        <v>94.687409599999995</v>
      </c>
      <c r="EM48" s="116">
        <f t="shared" si="163"/>
        <v>94.687409599999995</v>
      </c>
      <c r="EN48" s="218"/>
      <c r="EO48" s="116">
        <f>IF($FK48="да",EN48*1.18,EN48)</f>
        <v>0</v>
      </c>
      <c r="EP48" s="218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  <c r="FK48" s="110" t="str">
        <f>$T46</f>
        <v>нет</v>
      </c>
      <c r="FL48" s="118" t="str">
        <f>IF($G46="","ACTI","DELD")</f>
        <v>ACTI</v>
      </c>
      <c r="FM48" s="119" t="str">
        <f>$I46 &amp; "." &amp; $AA47 &amp; ".2"</f>
        <v>1.1.2</v>
      </c>
      <c r="FN48" s="427"/>
      <c r="FO48" s="423"/>
      <c r="FP48" s="420"/>
      <c r="FQ48" s="420"/>
      <c r="FR48" s="420"/>
      <c r="FS48" s="204">
        <f t="shared" si="164"/>
        <v>194899.78582414406</v>
      </c>
      <c r="FT48" s="9"/>
      <c r="FU48" s="9"/>
      <c r="FV48" s="9"/>
      <c r="FW48" s="9"/>
      <c r="FX48" s="205"/>
      <c r="FY48" s="9"/>
      <c r="FZ48" s="206"/>
      <c r="GA48" s="46"/>
      <c r="GD48" s="192" t="str">
        <f>M46</f>
        <v>2633001132</v>
      </c>
      <c r="GE48" s="192" t="str">
        <f>N46</f>
        <v>263601001</v>
      </c>
      <c r="GF48" s="193" t="str">
        <f>MID(Q46,1,50) &amp; LEN(Q46)</f>
        <v>0</v>
      </c>
      <c r="GG48" s="192" t="str">
        <f>IF(S46="производство комбинированная выработка","COGENERATION","HEATING")</f>
        <v>HEATING</v>
      </c>
      <c r="GH48" s="194" t="str">
        <f t="shared" ref="GH48:GH64" si="165">AD48</f>
        <v>Газ сверхлимитный :: ACTI</v>
      </c>
      <c r="GI48" s="194" t="str">
        <f t="shared" ref="GI48:GI64" si="166">GD48 &amp; "::" &amp; GE48 &amp; "::" &amp; GF48 &amp; "::" &amp; GG48 &amp; "::" &amp; GH48</f>
        <v>2633001132::263601001::0::HEATING::Газ сверхлимитный :: ACTI</v>
      </c>
      <c r="GJ48" s="10"/>
      <c r="GK48" s="10"/>
      <c r="GL48" s="10"/>
      <c r="GM48" s="10"/>
    </row>
    <row r="49" spans="6:195" s="75" customFormat="1" ht="12" hidden="1" customHeight="1">
      <c r="F49" s="200"/>
      <c r="G49" s="406"/>
      <c r="H49" s="411"/>
      <c r="I49" s="412"/>
      <c r="J49" s="417"/>
      <c r="K49" s="417"/>
      <c r="L49" s="419"/>
      <c r="M49" s="418"/>
      <c r="N49" s="418"/>
      <c r="O49" s="418"/>
      <c r="P49" s="415"/>
      <c r="Q49" s="416"/>
      <c r="R49" s="426"/>
      <c r="S49" s="410"/>
      <c r="T49" s="432"/>
      <c r="U49" s="412"/>
      <c r="V49"/>
      <c r="W49"/>
      <c r="X49"/>
      <c r="Y49" s="425"/>
      <c r="Z49" s="112"/>
      <c r="AA49" s="424"/>
      <c r="AB49" s="421"/>
      <c r="AC49" s="120" t="s">
        <v>1652</v>
      </c>
      <c r="AD49" s="191" t="str">
        <f t="shared" si="143"/>
        <v>Газ коммерческий :: ACTI</v>
      </c>
      <c r="AE49" s="117"/>
      <c r="AF49" s="116">
        <f t="shared" si="144"/>
        <v>0</v>
      </c>
      <c r="AG49" s="117"/>
      <c r="AH49" s="116">
        <f>IF($FK49="да",AG49*1.18,AG49)</f>
        <v>0</v>
      </c>
      <c r="AI49" s="185">
        <f t="shared" si="145"/>
        <v>0</v>
      </c>
      <c r="AJ49" s="185">
        <f t="shared" si="146"/>
        <v>0</v>
      </c>
      <c r="AK49" s="122"/>
      <c r="AL49" s="122"/>
      <c r="AM49" s="123">
        <f t="shared" si="147"/>
        <v>0</v>
      </c>
      <c r="AN49" s="123">
        <f>AG49*AK49/1000</f>
        <v>0</v>
      </c>
      <c r="AO49" s="116">
        <f t="shared" si="148"/>
        <v>0</v>
      </c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218"/>
      <c r="BN49" s="116">
        <f t="shared" si="149"/>
        <v>0</v>
      </c>
      <c r="BO49" s="218"/>
      <c r="BP49" s="116">
        <f>IF($FK49="да",BO49*1.18,BO49)</f>
        <v>0</v>
      </c>
      <c r="BQ49" s="185">
        <f t="shared" si="150"/>
        <v>0</v>
      </c>
      <c r="BR49" s="185">
        <f t="shared" si="151"/>
        <v>0</v>
      </c>
      <c r="BS49" s="365"/>
      <c r="BT49" s="365"/>
      <c r="BU49" s="123">
        <f t="shared" si="152"/>
        <v>0</v>
      </c>
      <c r="BV49" s="123">
        <f>BO49*BS49/1000</f>
        <v>0</v>
      </c>
      <c r="BW49" s="116">
        <f t="shared" si="153"/>
        <v>0</v>
      </c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218"/>
      <c r="CV49" s="116">
        <f t="shared" si="154"/>
        <v>0</v>
      </c>
      <c r="CW49" s="218"/>
      <c r="CX49" s="116">
        <f>IF($FK49="да",CW49*1.18,CW49)</f>
        <v>0</v>
      </c>
      <c r="CY49" s="185">
        <f t="shared" si="155"/>
        <v>0</v>
      </c>
      <c r="CZ49" s="185">
        <f t="shared" si="156"/>
        <v>0</v>
      </c>
      <c r="DA49" s="365"/>
      <c r="DB49" s="365"/>
      <c r="DC49" s="123">
        <f t="shared" si="157"/>
        <v>0</v>
      </c>
      <c r="DD49" s="123">
        <f>CW49*DA49/1000</f>
        <v>0</v>
      </c>
      <c r="DE49" s="116">
        <f t="shared" si="158"/>
        <v>0</v>
      </c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W49" s="115"/>
      <c r="DX49" s="115"/>
      <c r="DY49" s="115"/>
      <c r="DZ49" s="115"/>
      <c r="EA49" s="115"/>
      <c r="EB49" s="115"/>
      <c r="EC49" s="218"/>
      <c r="ED49" s="116">
        <f t="shared" si="159"/>
        <v>0</v>
      </c>
      <c r="EE49" s="218"/>
      <c r="EF49" s="116">
        <f>IF($FK49="да",EE49*1.18,EE49)</f>
        <v>0</v>
      </c>
      <c r="EG49" s="185">
        <f t="shared" si="160"/>
        <v>0</v>
      </c>
      <c r="EH49" s="185">
        <f t="shared" si="161"/>
        <v>0</v>
      </c>
      <c r="EI49" s="365"/>
      <c r="EJ49" s="365"/>
      <c r="EK49" s="123">
        <f t="shared" si="162"/>
        <v>0</v>
      </c>
      <c r="EL49" s="123">
        <f>EE49*EI49/1000</f>
        <v>0</v>
      </c>
      <c r="EM49" s="116">
        <f t="shared" si="163"/>
        <v>0</v>
      </c>
      <c r="EN49" s="115"/>
      <c r="EO49" s="115"/>
      <c r="EP49" s="115"/>
      <c r="EQ49" s="115"/>
      <c r="ER49" s="115"/>
      <c r="ES49" s="115"/>
      <c r="ET49" s="115"/>
      <c r="EU49" s="115"/>
      <c r="EV49" s="115"/>
      <c r="EW49" s="115"/>
      <c r="EX49" s="115"/>
      <c r="EY49" s="115"/>
      <c r="EZ49" s="115"/>
      <c r="FA49" s="115"/>
      <c r="FB49" s="115"/>
      <c r="FC49" s="115"/>
      <c r="FD49" s="115"/>
      <c r="FE49" s="115"/>
      <c r="FF49" s="115"/>
      <c r="FG49" s="115"/>
      <c r="FH49" s="115"/>
      <c r="FI49" s="115"/>
      <c r="FJ49" s="115"/>
      <c r="FK49" s="110" t="str">
        <f>$T46</f>
        <v>нет</v>
      </c>
      <c r="FL49" s="118" t="str">
        <f>IF($G46="","ACTI","DELD")</f>
        <v>ACTI</v>
      </c>
      <c r="FM49" s="119" t="str">
        <f>$I46 &amp; "." &amp; $AA47 &amp; ".3"</f>
        <v>1.1.3</v>
      </c>
      <c r="FN49" s="427"/>
      <c r="FO49" s="423"/>
      <c r="FP49" s="420"/>
      <c r="FQ49" s="420"/>
      <c r="FR49" s="420"/>
      <c r="FS49" s="204">
        <f t="shared" si="164"/>
        <v>0</v>
      </c>
      <c r="FT49" s="9"/>
      <c r="FU49" s="9"/>
      <c r="FV49" s="9"/>
      <c r="FW49" s="9"/>
      <c r="FX49" s="205"/>
      <c r="FY49" s="9"/>
      <c r="FZ49" s="206"/>
      <c r="GA49" s="46"/>
      <c r="GD49" s="192" t="str">
        <f>M46</f>
        <v>2633001132</v>
      </c>
      <c r="GE49" s="192" t="str">
        <f>N46</f>
        <v>263601001</v>
      </c>
      <c r="GF49" s="193" t="str">
        <f>MID(Q46,1,50) &amp; LEN(Q46)</f>
        <v>0</v>
      </c>
      <c r="GG49" s="192" t="str">
        <f>IF(S46="производство комбинированная выработка","COGENERATION","HEATING")</f>
        <v>HEATING</v>
      </c>
      <c r="GH49" s="194" t="str">
        <f t="shared" si="165"/>
        <v>Газ коммерческий :: ACTI</v>
      </c>
      <c r="GI49" s="194" t="str">
        <f t="shared" si="166"/>
        <v>2633001132::263601001::0::HEATING::Газ коммерческий :: ACTI</v>
      </c>
      <c r="GJ49" s="10"/>
      <c r="GK49" s="10"/>
      <c r="GL49" s="10"/>
      <c r="GM49" s="10"/>
    </row>
    <row r="50" spans="6:195" s="75" customFormat="1" ht="12" hidden="1" customHeight="1">
      <c r="F50" s="200"/>
      <c r="G50" s="406"/>
      <c r="H50" s="411"/>
      <c r="I50" s="412"/>
      <c r="J50" s="417"/>
      <c r="K50" s="417"/>
      <c r="L50" s="419"/>
      <c r="M50" s="418"/>
      <c r="N50" s="418"/>
      <c r="O50" s="418"/>
      <c r="P50" s="415"/>
      <c r="Q50" s="416"/>
      <c r="R50" s="426"/>
      <c r="S50" s="410"/>
      <c r="T50" s="432"/>
      <c r="U50" s="412"/>
      <c r="V50"/>
      <c r="W50"/>
      <c r="X50"/>
      <c r="Y50" s="425"/>
      <c r="Z50" s="112"/>
      <c r="AA50" s="111">
        <v>2</v>
      </c>
      <c r="AB50" s="113" t="s">
        <v>1741</v>
      </c>
      <c r="AC50" s="121" t="str">
        <f t="shared" ref="AC50:AC55" si="167">AB50</f>
        <v>Газовый конденсат</v>
      </c>
      <c r="AD50" s="191" t="str">
        <f t="shared" si="143"/>
        <v>Газовый конденсат :: ACTI</v>
      </c>
      <c r="AE50" s="122"/>
      <c r="AF50" s="116">
        <f t="shared" si="144"/>
        <v>0</v>
      </c>
      <c r="AG50" s="185">
        <f t="shared" ref="AG50:AG55" si="168">IF(AK50=0,0,AN50/AK50*1000)</f>
        <v>0</v>
      </c>
      <c r="AH50" s="185">
        <f t="shared" ref="AH50:AH55" si="169">IF(AK50=0,0,AO50/AK50*1000)</f>
        <v>0</v>
      </c>
      <c r="AI50" s="185">
        <f t="shared" si="145"/>
        <v>0</v>
      </c>
      <c r="AJ50" s="185">
        <f t="shared" si="146"/>
        <v>0</v>
      </c>
      <c r="AK50" s="122"/>
      <c r="AL50" s="122"/>
      <c r="AM50" s="123">
        <f t="shared" si="147"/>
        <v>0</v>
      </c>
      <c r="AN50" s="123">
        <f t="shared" ref="AN50:AN55" si="170">AE50*AK50/1000+AV50+BA50+BF50</f>
        <v>0</v>
      </c>
      <c r="AO50" s="116">
        <f t="shared" si="148"/>
        <v>0</v>
      </c>
      <c r="AP50" s="115"/>
      <c r="AQ50" s="115"/>
      <c r="AR50" s="115"/>
      <c r="AS50" s="122"/>
      <c r="AT50" s="116">
        <f t="shared" ref="AT50:AT55" si="171">IF($FK50="да",AS50*1.18,AS50)</f>
        <v>0</v>
      </c>
      <c r="AU50" s="122"/>
      <c r="AV50" s="123">
        <f t="shared" ref="AV50:AV55" si="172">AS50*AU50/1000</f>
        <v>0</v>
      </c>
      <c r="AW50" s="116">
        <f t="shared" ref="AW50:AW55" si="173">IF($FK50="да",AV50*1.18,AV50)</f>
        <v>0</v>
      </c>
      <c r="AX50" s="117"/>
      <c r="AY50" s="116">
        <f t="shared" ref="AY50:AY55" si="174">IF($FK50="да",AX50*1.18,AX50)</f>
        <v>0</v>
      </c>
      <c r="AZ50" s="117"/>
      <c r="BA50" s="116">
        <f t="shared" ref="BA50:BA55" si="175">AX50*AZ50/1000</f>
        <v>0</v>
      </c>
      <c r="BB50" s="116">
        <f t="shared" ref="BB50:BB55" si="176">IF($FK50="да",BA50*1.18,BA50)</f>
        <v>0</v>
      </c>
      <c r="BC50" s="117"/>
      <c r="BD50" s="116">
        <f t="shared" ref="BD50:BD55" si="177">IF($FK50="да",BC50*1.18,BC50)</f>
        <v>0</v>
      </c>
      <c r="BE50" s="117"/>
      <c r="BF50" s="116">
        <f t="shared" ref="BF50:BF55" si="178">BC50*BE50/1000</f>
        <v>0</v>
      </c>
      <c r="BG50" s="116">
        <f t="shared" ref="BG50:BG55" si="179">IF($FK50="да",BF50*1.18,BF50)</f>
        <v>0</v>
      </c>
      <c r="BH50" s="115"/>
      <c r="BI50" s="115"/>
      <c r="BJ50" s="115"/>
      <c r="BK50" s="115"/>
      <c r="BL50" s="115"/>
      <c r="BM50" s="365"/>
      <c r="BN50" s="116">
        <f t="shared" si="149"/>
        <v>0</v>
      </c>
      <c r="BO50" s="185">
        <f t="shared" ref="BO50:BO55" si="180">IF(BS50=0,0,BV50/BS50*1000)</f>
        <v>0</v>
      </c>
      <c r="BP50" s="185">
        <f t="shared" ref="BP50:BP55" si="181">IF(BS50=0,0,BW50/BS50*1000)</f>
        <v>0</v>
      </c>
      <c r="BQ50" s="185">
        <f t="shared" si="150"/>
        <v>0</v>
      </c>
      <c r="BR50" s="185">
        <f t="shared" si="151"/>
        <v>0</v>
      </c>
      <c r="BS50" s="365"/>
      <c r="BT50" s="365"/>
      <c r="BU50" s="123">
        <f t="shared" si="152"/>
        <v>0</v>
      </c>
      <c r="BV50" s="123">
        <f t="shared" ref="BV50:BV55" si="182">BM50*BS50/1000+CD50+CI50+CN50</f>
        <v>0</v>
      </c>
      <c r="BW50" s="116">
        <f t="shared" si="153"/>
        <v>0</v>
      </c>
      <c r="BX50" s="115"/>
      <c r="BY50" s="115"/>
      <c r="BZ50" s="115"/>
      <c r="CA50" s="365"/>
      <c r="CB50" s="116">
        <f t="shared" ref="CB50:CB55" si="183">IF($FK50="да",CA50*1.18,CA50)</f>
        <v>0</v>
      </c>
      <c r="CC50" s="365"/>
      <c r="CD50" s="123">
        <f t="shared" ref="CD50:CD55" si="184">CA50*CC50/1000</f>
        <v>0</v>
      </c>
      <c r="CE50" s="116">
        <f t="shared" ref="CE50:CE55" si="185">IF($FK50="да",CD50*1.18,CD50)</f>
        <v>0</v>
      </c>
      <c r="CF50" s="218"/>
      <c r="CG50" s="116">
        <f t="shared" ref="CG50:CG55" si="186">IF($FK50="да",CF50*1.18,CF50)</f>
        <v>0</v>
      </c>
      <c r="CH50" s="218"/>
      <c r="CI50" s="116">
        <f t="shared" ref="CI50:CI55" si="187">CF50*CH50/1000</f>
        <v>0</v>
      </c>
      <c r="CJ50" s="116">
        <f t="shared" ref="CJ50:CJ55" si="188">IF($FK50="да",CI50*1.18,CI50)</f>
        <v>0</v>
      </c>
      <c r="CK50" s="218"/>
      <c r="CL50" s="116">
        <f t="shared" ref="CL50:CL55" si="189">IF($FK50="да",CK50*1.18,CK50)</f>
        <v>0</v>
      </c>
      <c r="CM50" s="218"/>
      <c r="CN50" s="116">
        <f t="shared" ref="CN50:CN55" si="190">CK50*CM50/1000</f>
        <v>0</v>
      </c>
      <c r="CO50" s="116">
        <f t="shared" ref="CO50:CO55" si="191">IF($FK50="да",CN50*1.18,CN50)</f>
        <v>0</v>
      </c>
      <c r="CP50" s="115"/>
      <c r="CQ50" s="115"/>
      <c r="CR50" s="115"/>
      <c r="CS50" s="115"/>
      <c r="CT50" s="115"/>
      <c r="CU50" s="365"/>
      <c r="CV50" s="116">
        <f t="shared" si="154"/>
        <v>0</v>
      </c>
      <c r="CW50" s="185">
        <f t="shared" ref="CW50:CW55" si="192">IF(DA50=0,0,DD50/DA50*1000)</f>
        <v>0</v>
      </c>
      <c r="CX50" s="185">
        <f t="shared" ref="CX50:CX55" si="193">IF(DA50=0,0,DE50/DA50*1000)</f>
        <v>0</v>
      </c>
      <c r="CY50" s="185">
        <f t="shared" si="155"/>
        <v>0</v>
      </c>
      <c r="CZ50" s="185">
        <f t="shared" si="156"/>
        <v>0</v>
      </c>
      <c r="DA50" s="365"/>
      <c r="DB50" s="365"/>
      <c r="DC50" s="123">
        <f t="shared" si="157"/>
        <v>0</v>
      </c>
      <c r="DD50" s="123">
        <f t="shared" ref="DD50:DD55" si="194">CU50*DA50/1000+DL50+DQ50+DV50</f>
        <v>0</v>
      </c>
      <c r="DE50" s="116">
        <f t="shared" si="158"/>
        <v>0</v>
      </c>
      <c r="DF50" s="115"/>
      <c r="DG50" s="115"/>
      <c r="DH50" s="115"/>
      <c r="DI50" s="365"/>
      <c r="DJ50" s="116">
        <f t="shared" ref="DJ50:DJ55" si="195">IF($FK50="да",DI50*1.18,DI50)</f>
        <v>0</v>
      </c>
      <c r="DK50" s="365"/>
      <c r="DL50" s="123">
        <f t="shared" ref="DL50:DL55" si="196">DI50*DK50/1000</f>
        <v>0</v>
      </c>
      <c r="DM50" s="116">
        <f t="shared" ref="DM50:DM55" si="197">IF($FK50="да",DL50*1.18,DL50)</f>
        <v>0</v>
      </c>
      <c r="DN50" s="218"/>
      <c r="DO50" s="116">
        <f t="shared" ref="DO50:DO55" si="198">IF($FK50="да",DN50*1.18,DN50)</f>
        <v>0</v>
      </c>
      <c r="DP50" s="218"/>
      <c r="DQ50" s="116">
        <f t="shared" ref="DQ50:DQ55" si="199">DN50*DP50/1000</f>
        <v>0</v>
      </c>
      <c r="DR50" s="116">
        <f t="shared" ref="DR50:DR55" si="200">IF($FK50="да",DQ50*1.18,DQ50)</f>
        <v>0</v>
      </c>
      <c r="DS50" s="218"/>
      <c r="DT50" s="116">
        <f t="shared" ref="DT50:DT55" si="201">IF($FK50="да",DS50*1.18,DS50)</f>
        <v>0</v>
      </c>
      <c r="DU50" s="218"/>
      <c r="DV50" s="116">
        <f t="shared" ref="DV50:DV55" si="202">DS50*DU50/1000</f>
        <v>0</v>
      </c>
      <c r="DW50" s="116">
        <f t="shared" ref="DW50:DW55" si="203">IF($FK50="да",DV50*1.18,DV50)</f>
        <v>0</v>
      </c>
      <c r="DX50" s="115"/>
      <c r="DY50" s="115"/>
      <c r="DZ50" s="115"/>
      <c r="EA50" s="115"/>
      <c r="EB50" s="115"/>
      <c r="EC50" s="365"/>
      <c r="ED50" s="116">
        <f t="shared" si="159"/>
        <v>0</v>
      </c>
      <c r="EE50" s="185">
        <f t="shared" ref="EE50:EE55" si="204">IF(EI50=0,0,EL50/EI50*1000)</f>
        <v>0</v>
      </c>
      <c r="EF50" s="185">
        <f t="shared" ref="EF50:EF55" si="205">IF(EI50=0,0,EM50/EI50*1000)</f>
        <v>0</v>
      </c>
      <c r="EG50" s="185">
        <f t="shared" si="160"/>
        <v>0</v>
      </c>
      <c r="EH50" s="185">
        <f t="shared" si="161"/>
        <v>0</v>
      </c>
      <c r="EI50" s="365"/>
      <c r="EJ50" s="365"/>
      <c r="EK50" s="123">
        <f t="shared" si="162"/>
        <v>0</v>
      </c>
      <c r="EL50" s="123">
        <f t="shared" ref="EL50:EL55" si="206">EC50*EI50/1000+ET50+EY50+FD50</f>
        <v>0</v>
      </c>
      <c r="EM50" s="116">
        <f t="shared" si="163"/>
        <v>0</v>
      </c>
      <c r="EN50" s="115"/>
      <c r="EO50" s="115"/>
      <c r="EP50" s="115"/>
      <c r="EQ50" s="365"/>
      <c r="ER50" s="116">
        <f t="shared" ref="ER50:ER55" si="207">IF($FK50="да",EQ50*1.18,EQ50)</f>
        <v>0</v>
      </c>
      <c r="ES50" s="365"/>
      <c r="ET50" s="123">
        <f t="shared" ref="ET50:ET55" si="208">EQ50*ES50/1000</f>
        <v>0</v>
      </c>
      <c r="EU50" s="116">
        <f t="shared" ref="EU50:EU55" si="209">IF($FK50="да",ET50*1.18,ET50)</f>
        <v>0</v>
      </c>
      <c r="EV50" s="218"/>
      <c r="EW50" s="116">
        <f t="shared" ref="EW50:EW55" si="210">IF($FK50="да",EV50*1.18,EV50)</f>
        <v>0</v>
      </c>
      <c r="EX50" s="218"/>
      <c r="EY50" s="116">
        <f t="shared" ref="EY50:EY55" si="211">EV50*EX50/1000</f>
        <v>0</v>
      </c>
      <c r="EZ50" s="116">
        <f t="shared" ref="EZ50:EZ55" si="212">IF($FK50="да",EY50*1.18,EY50)</f>
        <v>0</v>
      </c>
      <c r="FA50" s="218"/>
      <c r="FB50" s="116">
        <f t="shared" ref="FB50:FB55" si="213">IF($FK50="да",FA50*1.18,FA50)</f>
        <v>0</v>
      </c>
      <c r="FC50" s="218"/>
      <c r="FD50" s="116">
        <f t="shared" ref="FD50:FD55" si="214">FA50*FC50/1000</f>
        <v>0</v>
      </c>
      <c r="FE50" s="116">
        <f t="shared" ref="FE50:FE55" si="215">IF($FK50="да",FD50*1.18,FD50)</f>
        <v>0</v>
      </c>
      <c r="FF50" s="115"/>
      <c r="FG50" s="115"/>
      <c r="FH50" s="115"/>
      <c r="FI50" s="115"/>
      <c r="FJ50" s="115"/>
      <c r="FK50" s="110" t="str">
        <f>$T46</f>
        <v>нет</v>
      </c>
      <c r="FL50" s="118" t="str">
        <f>IF($G46="","ACTI","DELD")</f>
        <v>ACTI</v>
      </c>
      <c r="FM50" s="119" t="str">
        <f>$I46 &amp; "." &amp; $AA50 &amp; ".1"</f>
        <v>1.2.1</v>
      </c>
      <c r="FN50" s="427"/>
      <c r="FO50" s="201"/>
      <c r="FP50" s="360"/>
      <c r="FQ50" s="360"/>
      <c r="FR50" s="360"/>
      <c r="FS50" s="204">
        <f t="shared" si="164"/>
        <v>0</v>
      </c>
      <c r="FT50" s="9"/>
      <c r="FU50" s="9"/>
      <c r="FV50" s="9"/>
      <c r="FW50" s="9"/>
      <c r="FX50" s="205"/>
      <c r="FY50" s="9"/>
      <c r="FZ50" s="206"/>
      <c r="GA50" s="46"/>
      <c r="GD50" s="192" t="str">
        <f>M46</f>
        <v>2633001132</v>
      </c>
      <c r="GE50" s="192" t="str">
        <f>N46</f>
        <v>263601001</v>
      </c>
      <c r="GF50" s="193" t="str">
        <f>MID(Q46,1,50) &amp; LEN(Q46)</f>
        <v>0</v>
      </c>
      <c r="GG50" s="192" t="str">
        <f>IF(S46="производство комбинированная выработка","COGENERATION","HEATING")</f>
        <v>HEATING</v>
      </c>
      <c r="GH50" s="194" t="str">
        <f t="shared" si="165"/>
        <v>Газовый конденсат :: ACTI</v>
      </c>
      <c r="GI50" s="194" t="str">
        <f t="shared" si="166"/>
        <v>2633001132::263601001::0::HEATING::Газовый конденсат :: ACTI</v>
      </c>
      <c r="GJ50" s="10"/>
      <c r="GK50" s="10"/>
      <c r="GL50" s="10"/>
      <c r="GM50" s="10"/>
    </row>
    <row r="51" spans="6:195" s="75" customFormat="1" ht="12" hidden="1" customHeight="1">
      <c r="F51" s="200"/>
      <c r="G51" s="406"/>
      <c r="H51" s="411"/>
      <c r="I51" s="412"/>
      <c r="J51" s="417"/>
      <c r="K51" s="417"/>
      <c r="L51" s="419"/>
      <c r="M51" s="418"/>
      <c r="N51" s="418"/>
      <c r="O51" s="418"/>
      <c r="P51" s="415"/>
      <c r="Q51" s="416"/>
      <c r="R51" s="426"/>
      <c r="S51" s="410"/>
      <c r="T51" s="432"/>
      <c r="U51" s="412"/>
      <c r="V51"/>
      <c r="W51"/>
      <c r="X51"/>
      <c r="Y51" s="425"/>
      <c r="Z51" s="112"/>
      <c r="AA51" s="111">
        <v>3</v>
      </c>
      <c r="AB51" s="113" t="s">
        <v>1525</v>
      </c>
      <c r="AC51" s="121" t="str">
        <f t="shared" si="167"/>
        <v>Газ сжиженный</v>
      </c>
      <c r="AD51" s="191" t="str">
        <f t="shared" si="143"/>
        <v>Газ сжиженный :: ACTI</v>
      </c>
      <c r="AE51" s="122"/>
      <c r="AF51" s="116">
        <f t="shared" si="144"/>
        <v>0</v>
      </c>
      <c r="AG51" s="185">
        <f t="shared" si="168"/>
        <v>0</v>
      </c>
      <c r="AH51" s="185">
        <f t="shared" si="169"/>
        <v>0</v>
      </c>
      <c r="AI51" s="185">
        <f t="shared" si="145"/>
        <v>0</v>
      </c>
      <c r="AJ51" s="185">
        <f t="shared" si="146"/>
        <v>0</v>
      </c>
      <c r="AK51" s="122"/>
      <c r="AL51" s="122"/>
      <c r="AM51" s="123">
        <f t="shared" si="147"/>
        <v>0</v>
      </c>
      <c r="AN51" s="123">
        <f t="shared" si="170"/>
        <v>0</v>
      </c>
      <c r="AO51" s="116">
        <f t="shared" si="148"/>
        <v>0</v>
      </c>
      <c r="AP51" s="115"/>
      <c r="AQ51" s="115"/>
      <c r="AR51" s="115"/>
      <c r="AS51" s="122"/>
      <c r="AT51" s="116">
        <f t="shared" si="171"/>
        <v>0</v>
      </c>
      <c r="AU51" s="122"/>
      <c r="AV51" s="123">
        <f t="shared" si="172"/>
        <v>0</v>
      </c>
      <c r="AW51" s="116">
        <f t="shared" si="173"/>
        <v>0</v>
      </c>
      <c r="AX51" s="117"/>
      <c r="AY51" s="116">
        <f t="shared" si="174"/>
        <v>0</v>
      </c>
      <c r="AZ51" s="117"/>
      <c r="BA51" s="116">
        <f t="shared" si="175"/>
        <v>0</v>
      </c>
      <c r="BB51" s="116">
        <f t="shared" si="176"/>
        <v>0</v>
      </c>
      <c r="BC51" s="117"/>
      <c r="BD51" s="116">
        <f t="shared" si="177"/>
        <v>0</v>
      </c>
      <c r="BE51" s="117"/>
      <c r="BF51" s="116">
        <f t="shared" si="178"/>
        <v>0</v>
      </c>
      <c r="BG51" s="116">
        <f t="shared" si="179"/>
        <v>0</v>
      </c>
      <c r="BH51" s="115"/>
      <c r="BI51" s="115"/>
      <c r="BJ51" s="115"/>
      <c r="BK51" s="115"/>
      <c r="BL51" s="115"/>
      <c r="BM51" s="365"/>
      <c r="BN51" s="116">
        <f t="shared" si="149"/>
        <v>0</v>
      </c>
      <c r="BO51" s="185">
        <f t="shared" si="180"/>
        <v>0</v>
      </c>
      <c r="BP51" s="185">
        <f t="shared" si="181"/>
        <v>0</v>
      </c>
      <c r="BQ51" s="185">
        <f t="shared" si="150"/>
        <v>0</v>
      </c>
      <c r="BR51" s="185">
        <f t="shared" si="151"/>
        <v>0</v>
      </c>
      <c r="BS51" s="365"/>
      <c r="BT51" s="365"/>
      <c r="BU51" s="123">
        <f t="shared" si="152"/>
        <v>0</v>
      </c>
      <c r="BV51" s="123">
        <f t="shared" si="182"/>
        <v>0</v>
      </c>
      <c r="BW51" s="116">
        <f t="shared" si="153"/>
        <v>0</v>
      </c>
      <c r="BX51" s="115"/>
      <c r="BY51" s="115"/>
      <c r="BZ51" s="115"/>
      <c r="CA51" s="365"/>
      <c r="CB51" s="116">
        <f t="shared" si="183"/>
        <v>0</v>
      </c>
      <c r="CC51" s="365"/>
      <c r="CD51" s="123">
        <f t="shared" si="184"/>
        <v>0</v>
      </c>
      <c r="CE51" s="116">
        <f t="shared" si="185"/>
        <v>0</v>
      </c>
      <c r="CF51" s="218"/>
      <c r="CG51" s="116">
        <f t="shared" si="186"/>
        <v>0</v>
      </c>
      <c r="CH51" s="218"/>
      <c r="CI51" s="116">
        <f t="shared" si="187"/>
        <v>0</v>
      </c>
      <c r="CJ51" s="116">
        <f t="shared" si="188"/>
        <v>0</v>
      </c>
      <c r="CK51" s="218"/>
      <c r="CL51" s="116">
        <f t="shared" si="189"/>
        <v>0</v>
      </c>
      <c r="CM51" s="218"/>
      <c r="CN51" s="116">
        <f t="shared" si="190"/>
        <v>0</v>
      </c>
      <c r="CO51" s="116">
        <f t="shared" si="191"/>
        <v>0</v>
      </c>
      <c r="CP51" s="115"/>
      <c r="CQ51" s="115"/>
      <c r="CR51" s="115"/>
      <c r="CS51" s="115"/>
      <c r="CT51" s="115"/>
      <c r="CU51" s="365"/>
      <c r="CV51" s="116">
        <f t="shared" si="154"/>
        <v>0</v>
      </c>
      <c r="CW51" s="185">
        <f t="shared" si="192"/>
        <v>0</v>
      </c>
      <c r="CX51" s="185">
        <f t="shared" si="193"/>
        <v>0</v>
      </c>
      <c r="CY51" s="185">
        <f t="shared" si="155"/>
        <v>0</v>
      </c>
      <c r="CZ51" s="185">
        <f t="shared" si="156"/>
        <v>0</v>
      </c>
      <c r="DA51" s="365"/>
      <c r="DB51" s="365"/>
      <c r="DC51" s="123">
        <f t="shared" si="157"/>
        <v>0</v>
      </c>
      <c r="DD51" s="123">
        <f t="shared" si="194"/>
        <v>0</v>
      </c>
      <c r="DE51" s="116">
        <f t="shared" si="158"/>
        <v>0</v>
      </c>
      <c r="DF51" s="115"/>
      <c r="DG51" s="115"/>
      <c r="DH51" s="115"/>
      <c r="DI51" s="365"/>
      <c r="DJ51" s="116">
        <f t="shared" si="195"/>
        <v>0</v>
      </c>
      <c r="DK51" s="365"/>
      <c r="DL51" s="123">
        <f t="shared" si="196"/>
        <v>0</v>
      </c>
      <c r="DM51" s="116">
        <f t="shared" si="197"/>
        <v>0</v>
      </c>
      <c r="DN51" s="218"/>
      <c r="DO51" s="116">
        <f t="shared" si="198"/>
        <v>0</v>
      </c>
      <c r="DP51" s="218"/>
      <c r="DQ51" s="116">
        <f t="shared" si="199"/>
        <v>0</v>
      </c>
      <c r="DR51" s="116">
        <f t="shared" si="200"/>
        <v>0</v>
      </c>
      <c r="DS51" s="218"/>
      <c r="DT51" s="116">
        <f t="shared" si="201"/>
        <v>0</v>
      </c>
      <c r="DU51" s="218"/>
      <c r="DV51" s="116">
        <f t="shared" si="202"/>
        <v>0</v>
      </c>
      <c r="DW51" s="116">
        <f t="shared" si="203"/>
        <v>0</v>
      </c>
      <c r="DX51" s="115"/>
      <c r="DY51" s="115"/>
      <c r="DZ51" s="115"/>
      <c r="EA51" s="115"/>
      <c r="EB51" s="115"/>
      <c r="EC51" s="365"/>
      <c r="ED51" s="116">
        <f t="shared" si="159"/>
        <v>0</v>
      </c>
      <c r="EE51" s="185">
        <f t="shared" si="204"/>
        <v>0</v>
      </c>
      <c r="EF51" s="185">
        <f t="shared" si="205"/>
        <v>0</v>
      </c>
      <c r="EG51" s="185">
        <f t="shared" si="160"/>
        <v>0</v>
      </c>
      <c r="EH51" s="185">
        <f t="shared" si="161"/>
        <v>0</v>
      </c>
      <c r="EI51" s="365"/>
      <c r="EJ51" s="365"/>
      <c r="EK51" s="123">
        <f t="shared" si="162"/>
        <v>0</v>
      </c>
      <c r="EL51" s="123">
        <f t="shared" si="206"/>
        <v>0</v>
      </c>
      <c r="EM51" s="116">
        <f t="shared" si="163"/>
        <v>0</v>
      </c>
      <c r="EN51" s="115"/>
      <c r="EO51" s="115"/>
      <c r="EP51" s="115"/>
      <c r="EQ51" s="365"/>
      <c r="ER51" s="116">
        <f t="shared" si="207"/>
        <v>0</v>
      </c>
      <c r="ES51" s="365"/>
      <c r="ET51" s="123">
        <f t="shared" si="208"/>
        <v>0</v>
      </c>
      <c r="EU51" s="116">
        <f t="shared" si="209"/>
        <v>0</v>
      </c>
      <c r="EV51" s="218"/>
      <c r="EW51" s="116">
        <f t="shared" si="210"/>
        <v>0</v>
      </c>
      <c r="EX51" s="218"/>
      <c r="EY51" s="116">
        <f t="shared" si="211"/>
        <v>0</v>
      </c>
      <c r="EZ51" s="116">
        <f t="shared" si="212"/>
        <v>0</v>
      </c>
      <c r="FA51" s="218"/>
      <c r="FB51" s="116">
        <f t="shared" si="213"/>
        <v>0</v>
      </c>
      <c r="FC51" s="218"/>
      <c r="FD51" s="116">
        <f t="shared" si="214"/>
        <v>0</v>
      </c>
      <c r="FE51" s="116">
        <f t="shared" si="215"/>
        <v>0</v>
      </c>
      <c r="FF51" s="115"/>
      <c r="FG51" s="115"/>
      <c r="FH51" s="115"/>
      <c r="FI51" s="115"/>
      <c r="FJ51" s="115"/>
      <c r="FK51" s="110" t="str">
        <f>$T46</f>
        <v>нет</v>
      </c>
      <c r="FL51" s="118" t="str">
        <f>IF($G46="","ACTI","DELD")</f>
        <v>ACTI</v>
      </c>
      <c r="FM51" s="119" t="str">
        <f>$I46 &amp; "." &amp; $AA51 &amp; ".1"</f>
        <v>1.3.1</v>
      </c>
      <c r="FN51" s="427"/>
      <c r="FO51" s="201"/>
      <c r="FP51" s="360"/>
      <c r="FQ51" s="360"/>
      <c r="FR51" s="360"/>
      <c r="FS51" s="204">
        <f t="shared" si="164"/>
        <v>0</v>
      </c>
      <c r="FT51" s="9"/>
      <c r="FU51" s="9"/>
      <c r="FV51" s="9"/>
      <c r="FW51" s="9"/>
      <c r="FX51" s="205"/>
      <c r="FY51" s="9"/>
      <c r="FZ51" s="206"/>
      <c r="GA51" s="46"/>
      <c r="GD51" s="192" t="str">
        <f>M46</f>
        <v>2633001132</v>
      </c>
      <c r="GE51" s="192" t="str">
        <f>N46</f>
        <v>263601001</v>
      </c>
      <c r="GF51" s="193" t="str">
        <f>MID(Q46,1,50) &amp; LEN(Q46)</f>
        <v>0</v>
      </c>
      <c r="GG51" s="192" t="str">
        <f>IF(S46="производство комбинированная выработка","COGENERATION","HEATING")</f>
        <v>HEATING</v>
      </c>
      <c r="GH51" s="194" t="str">
        <f t="shared" si="165"/>
        <v>Газ сжиженный :: ACTI</v>
      </c>
      <c r="GI51" s="194" t="str">
        <f t="shared" si="166"/>
        <v>2633001132::263601001::0::HEATING::Газ сжиженный :: ACTI</v>
      </c>
      <c r="GJ51" s="10"/>
      <c r="GK51" s="10"/>
      <c r="GL51" s="10"/>
      <c r="GM51" s="10"/>
    </row>
    <row r="52" spans="6:195" s="75" customFormat="1" ht="12" hidden="1" customHeight="1">
      <c r="F52" s="200"/>
      <c r="G52" s="406"/>
      <c r="H52" s="411"/>
      <c r="I52" s="412"/>
      <c r="J52" s="417"/>
      <c r="K52" s="417"/>
      <c r="L52" s="419"/>
      <c r="M52" s="418"/>
      <c r="N52" s="418"/>
      <c r="O52" s="418"/>
      <c r="P52" s="415"/>
      <c r="Q52" s="416"/>
      <c r="R52" s="426"/>
      <c r="S52" s="410"/>
      <c r="T52" s="432"/>
      <c r="U52" s="412"/>
      <c r="V52"/>
      <c r="W52"/>
      <c r="X52"/>
      <c r="Y52" s="425"/>
      <c r="Z52" s="112"/>
      <c r="AA52" s="111">
        <v>4</v>
      </c>
      <c r="AB52" s="113" t="s">
        <v>1580</v>
      </c>
      <c r="AC52" s="121" t="str">
        <f t="shared" si="167"/>
        <v>Дизельное топливо</v>
      </c>
      <c r="AD52" s="191" t="str">
        <f t="shared" si="143"/>
        <v>Дизельное топливо :: ACTI</v>
      </c>
      <c r="AE52" s="122"/>
      <c r="AF52" s="116">
        <f t="shared" si="144"/>
        <v>0</v>
      </c>
      <c r="AG52" s="185">
        <f t="shared" si="168"/>
        <v>0</v>
      </c>
      <c r="AH52" s="185">
        <f t="shared" si="169"/>
        <v>0</v>
      </c>
      <c r="AI52" s="185">
        <f t="shared" si="145"/>
        <v>0</v>
      </c>
      <c r="AJ52" s="185">
        <f t="shared" si="146"/>
        <v>0</v>
      </c>
      <c r="AK52" s="122"/>
      <c r="AL52" s="122"/>
      <c r="AM52" s="123">
        <f t="shared" si="147"/>
        <v>0</v>
      </c>
      <c r="AN52" s="123">
        <f t="shared" si="170"/>
        <v>0</v>
      </c>
      <c r="AO52" s="116">
        <f t="shared" si="148"/>
        <v>0</v>
      </c>
      <c r="AP52" s="115"/>
      <c r="AQ52" s="115"/>
      <c r="AR52" s="115"/>
      <c r="AS52" s="122"/>
      <c r="AT52" s="116">
        <f t="shared" si="171"/>
        <v>0</v>
      </c>
      <c r="AU52" s="122"/>
      <c r="AV52" s="123">
        <f t="shared" si="172"/>
        <v>0</v>
      </c>
      <c r="AW52" s="116">
        <f t="shared" si="173"/>
        <v>0</v>
      </c>
      <c r="AX52" s="117"/>
      <c r="AY52" s="116">
        <f t="shared" si="174"/>
        <v>0</v>
      </c>
      <c r="AZ52" s="117"/>
      <c r="BA52" s="116">
        <f t="shared" si="175"/>
        <v>0</v>
      </c>
      <c r="BB52" s="116">
        <f t="shared" si="176"/>
        <v>0</v>
      </c>
      <c r="BC52" s="117"/>
      <c r="BD52" s="116">
        <f t="shared" si="177"/>
        <v>0</v>
      </c>
      <c r="BE52" s="117"/>
      <c r="BF52" s="116">
        <f t="shared" si="178"/>
        <v>0</v>
      </c>
      <c r="BG52" s="116">
        <f t="shared" si="179"/>
        <v>0</v>
      </c>
      <c r="BH52" s="115"/>
      <c r="BI52" s="115"/>
      <c r="BJ52" s="115"/>
      <c r="BK52" s="115"/>
      <c r="BL52" s="115"/>
      <c r="BM52" s="365"/>
      <c r="BN52" s="116">
        <f t="shared" si="149"/>
        <v>0</v>
      </c>
      <c r="BO52" s="185">
        <f t="shared" si="180"/>
        <v>0</v>
      </c>
      <c r="BP52" s="185">
        <f t="shared" si="181"/>
        <v>0</v>
      </c>
      <c r="BQ52" s="185">
        <f t="shared" si="150"/>
        <v>0</v>
      </c>
      <c r="BR52" s="185">
        <f t="shared" si="151"/>
        <v>0</v>
      </c>
      <c r="BS52" s="365"/>
      <c r="BT52" s="365"/>
      <c r="BU52" s="123">
        <f t="shared" si="152"/>
        <v>0</v>
      </c>
      <c r="BV52" s="123">
        <f t="shared" si="182"/>
        <v>0</v>
      </c>
      <c r="BW52" s="116">
        <f t="shared" si="153"/>
        <v>0</v>
      </c>
      <c r="BX52" s="115"/>
      <c r="BY52" s="115"/>
      <c r="BZ52" s="115"/>
      <c r="CA52" s="365"/>
      <c r="CB52" s="116">
        <f t="shared" si="183"/>
        <v>0</v>
      </c>
      <c r="CC52" s="365"/>
      <c r="CD52" s="123">
        <f t="shared" si="184"/>
        <v>0</v>
      </c>
      <c r="CE52" s="116">
        <f t="shared" si="185"/>
        <v>0</v>
      </c>
      <c r="CF52" s="218"/>
      <c r="CG52" s="116">
        <f t="shared" si="186"/>
        <v>0</v>
      </c>
      <c r="CH52" s="218"/>
      <c r="CI52" s="116">
        <f t="shared" si="187"/>
        <v>0</v>
      </c>
      <c r="CJ52" s="116">
        <f t="shared" si="188"/>
        <v>0</v>
      </c>
      <c r="CK52" s="218"/>
      <c r="CL52" s="116">
        <f t="shared" si="189"/>
        <v>0</v>
      </c>
      <c r="CM52" s="218"/>
      <c r="CN52" s="116">
        <f t="shared" si="190"/>
        <v>0</v>
      </c>
      <c r="CO52" s="116">
        <f t="shared" si="191"/>
        <v>0</v>
      </c>
      <c r="CP52" s="115"/>
      <c r="CQ52" s="115"/>
      <c r="CR52" s="115"/>
      <c r="CS52" s="115"/>
      <c r="CT52" s="115"/>
      <c r="CU52" s="365"/>
      <c r="CV52" s="116">
        <f t="shared" si="154"/>
        <v>0</v>
      </c>
      <c r="CW52" s="185">
        <f t="shared" si="192"/>
        <v>0</v>
      </c>
      <c r="CX52" s="185">
        <f t="shared" si="193"/>
        <v>0</v>
      </c>
      <c r="CY52" s="185">
        <f t="shared" si="155"/>
        <v>0</v>
      </c>
      <c r="CZ52" s="185">
        <f t="shared" si="156"/>
        <v>0</v>
      </c>
      <c r="DA52" s="365"/>
      <c r="DB52" s="365"/>
      <c r="DC52" s="123">
        <f t="shared" si="157"/>
        <v>0</v>
      </c>
      <c r="DD52" s="123">
        <f t="shared" si="194"/>
        <v>0</v>
      </c>
      <c r="DE52" s="116">
        <f t="shared" si="158"/>
        <v>0</v>
      </c>
      <c r="DF52" s="115"/>
      <c r="DG52" s="115"/>
      <c r="DH52" s="115"/>
      <c r="DI52" s="365"/>
      <c r="DJ52" s="116">
        <f t="shared" si="195"/>
        <v>0</v>
      </c>
      <c r="DK52" s="365"/>
      <c r="DL52" s="123">
        <f t="shared" si="196"/>
        <v>0</v>
      </c>
      <c r="DM52" s="116">
        <f t="shared" si="197"/>
        <v>0</v>
      </c>
      <c r="DN52" s="218"/>
      <c r="DO52" s="116">
        <f t="shared" si="198"/>
        <v>0</v>
      </c>
      <c r="DP52" s="218"/>
      <c r="DQ52" s="116">
        <f t="shared" si="199"/>
        <v>0</v>
      </c>
      <c r="DR52" s="116">
        <f t="shared" si="200"/>
        <v>0</v>
      </c>
      <c r="DS52" s="218"/>
      <c r="DT52" s="116">
        <f t="shared" si="201"/>
        <v>0</v>
      </c>
      <c r="DU52" s="218"/>
      <c r="DV52" s="116">
        <f t="shared" si="202"/>
        <v>0</v>
      </c>
      <c r="DW52" s="116">
        <f t="shared" si="203"/>
        <v>0</v>
      </c>
      <c r="DX52" s="115"/>
      <c r="DY52" s="115"/>
      <c r="DZ52" s="115"/>
      <c r="EA52" s="115"/>
      <c r="EB52" s="115"/>
      <c r="EC52" s="365"/>
      <c r="ED52" s="116">
        <f t="shared" si="159"/>
        <v>0</v>
      </c>
      <c r="EE52" s="185">
        <f t="shared" si="204"/>
        <v>0</v>
      </c>
      <c r="EF52" s="185">
        <f t="shared" si="205"/>
        <v>0</v>
      </c>
      <c r="EG52" s="185">
        <f t="shared" si="160"/>
        <v>0</v>
      </c>
      <c r="EH52" s="185">
        <f t="shared" si="161"/>
        <v>0</v>
      </c>
      <c r="EI52" s="365"/>
      <c r="EJ52" s="365"/>
      <c r="EK52" s="123">
        <f t="shared" si="162"/>
        <v>0</v>
      </c>
      <c r="EL52" s="123">
        <f t="shared" si="206"/>
        <v>0</v>
      </c>
      <c r="EM52" s="116">
        <f t="shared" si="163"/>
        <v>0</v>
      </c>
      <c r="EN52" s="115"/>
      <c r="EO52" s="115"/>
      <c r="EP52" s="115"/>
      <c r="EQ52" s="365"/>
      <c r="ER52" s="116">
        <f t="shared" si="207"/>
        <v>0</v>
      </c>
      <c r="ES52" s="365"/>
      <c r="ET52" s="123">
        <f t="shared" si="208"/>
        <v>0</v>
      </c>
      <c r="EU52" s="116">
        <f t="shared" si="209"/>
        <v>0</v>
      </c>
      <c r="EV52" s="218"/>
      <c r="EW52" s="116">
        <f t="shared" si="210"/>
        <v>0</v>
      </c>
      <c r="EX52" s="218"/>
      <c r="EY52" s="116">
        <f t="shared" si="211"/>
        <v>0</v>
      </c>
      <c r="EZ52" s="116">
        <f t="shared" si="212"/>
        <v>0</v>
      </c>
      <c r="FA52" s="218"/>
      <c r="FB52" s="116">
        <f t="shared" si="213"/>
        <v>0</v>
      </c>
      <c r="FC52" s="218"/>
      <c r="FD52" s="116">
        <f t="shared" si="214"/>
        <v>0</v>
      </c>
      <c r="FE52" s="116">
        <f t="shared" si="215"/>
        <v>0</v>
      </c>
      <c r="FF52" s="115"/>
      <c r="FG52" s="115"/>
      <c r="FH52" s="115"/>
      <c r="FI52" s="115"/>
      <c r="FJ52" s="115"/>
      <c r="FK52" s="110" t="str">
        <f>$T46</f>
        <v>нет</v>
      </c>
      <c r="FL52" s="118" t="str">
        <f>IF($G46="","ACTI","DELD")</f>
        <v>ACTI</v>
      </c>
      <c r="FM52" s="119" t="str">
        <f>$I46 &amp; "." &amp; $AA52 &amp; ".1"</f>
        <v>1.4.1</v>
      </c>
      <c r="FN52" s="427"/>
      <c r="FO52" s="201"/>
      <c r="FP52" s="360"/>
      <c r="FQ52" s="360"/>
      <c r="FR52" s="360"/>
      <c r="FS52" s="204">
        <f t="shared" si="164"/>
        <v>0</v>
      </c>
      <c r="FT52" s="9"/>
      <c r="FU52" s="9"/>
      <c r="FV52" s="9"/>
      <c r="FW52" s="9"/>
      <c r="FX52" s="205"/>
      <c r="FY52" s="9"/>
      <c r="FZ52" s="206"/>
      <c r="GA52" s="46"/>
      <c r="GD52" s="192" t="str">
        <f>M46</f>
        <v>2633001132</v>
      </c>
      <c r="GE52" s="192" t="str">
        <f>N46</f>
        <v>263601001</v>
      </c>
      <c r="GF52" s="193" t="str">
        <f>MID(Q46,1,50) &amp; LEN(Q46)</f>
        <v>0</v>
      </c>
      <c r="GG52" s="192" t="str">
        <f>IF(S46="производство комбинированная выработка","COGENERATION","HEATING")</f>
        <v>HEATING</v>
      </c>
      <c r="GH52" s="194" t="str">
        <f t="shared" si="165"/>
        <v>Дизельное топливо :: ACTI</v>
      </c>
      <c r="GI52" s="194" t="str">
        <f t="shared" si="166"/>
        <v>2633001132::263601001::0::HEATING::Дизельное топливо :: ACTI</v>
      </c>
      <c r="GJ52" s="10"/>
      <c r="GK52" s="10"/>
      <c r="GL52" s="10"/>
      <c r="GM52" s="10"/>
    </row>
    <row r="53" spans="6:195" s="75" customFormat="1" ht="12" hidden="1" customHeight="1">
      <c r="F53" s="200"/>
      <c r="G53" s="406"/>
      <c r="H53" s="411"/>
      <c r="I53" s="412"/>
      <c r="J53" s="417"/>
      <c r="K53" s="417"/>
      <c r="L53" s="419"/>
      <c r="M53" s="418"/>
      <c r="N53" s="418"/>
      <c r="O53" s="418"/>
      <c r="P53" s="415"/>
      <c r="Q53" s="416"/>
      <c r="R53" s="426"/>
      <c r="S53" s="410"/>
      <c r="T53" s="432"/>
      <c r="U53" s="412"/>
      <c r="V53"/>
      <c r="W53"/>
      <c r="X53"/>
      <c r="Y53" s="425"/>
      <c r="Z53" s="112"/>
      <c r="AA53" s="111">
        <v>5</v>
      </c>
      <c r="AB53" s="113" t="s">
        <v>1579</v>
      </c>
      <c r="AC53" s="121" t="str">
        <f t="shared" si="167"/>
        <v>Мазут</v>
      </c>
      <c r="AD53" s="191" t="str">
        <f t="shared" si="143"/>
        <v>Мазут :: ACTI</v>
      </c>
      <c r="AE53" s="122"/>
      <c r="AF53" s="116">
        <f t="shared" si="144"/>
        <v>0</v>
      </c>
      <c r="AG53" s="185">
        <f t="shared" si="168"/>
        <v>0</v>
      </c>
      <c r="AH53" s="185">
        <f t="shared" si="169"/>
        <v>0</v>
      </c>
      <c r="AI53" s="185">
        <f t="shared" si="145"/>
        <v>0</v>
      </c>
      <c r="AJ53" s="185">
        <f t="shared" si="146"/>
        <v>0</v>
      </c>
      <c r="AK53" s="122"/>
      <c r="AL53" s="122"/>
      <c r="AM53" s="123">
        <f t="shared" si="147"/>
        <v>0</v>
      </c>
      <c r="AN53" s="123">
        <f t="shared" si="170"/>
        <v>0</v>
      </c>
      <c r="AO53" s="116">
        <f t="shared" si="148"/>
        <v>0</v>
      </c>
      <c r="AP53" s="115"/>
      <c r="AQ53" s="115"/>
      <c r="AR53" s="115"/>
      <c r="AS53" s="122"/>
      <c r="AT53" s="116">
        <f t="shared" si="171"/>
        <v>0</v>
      </c>
      <c r="AU53" s="122"/>
      <c r="AV53" s="123">
        <f t="shared" si="172"/>
        <v>0</v>
      </c>
      <c r="AW53" s="116">
        <f t="shared" si="173"/>
        <v>0</v>
      </c>
      <c r="AX53" s="117"/>
      <c r="AY53" s="116">
        <f t="shared" si="174"/>
        <v>0</v>
      </c>
      <c r="AZ53" s="117"/>
      <c r="BA53" s="116">
        <f t="shared" si="175"/>
        <v>0</v>
      </c>
      <c r="BB53" s="116">
        <f t="shared" si="176"/>
        <v>0</v>
      </c>
      <c r="BC53" s="117"/>
      <c r="BD53" s="116">
        <f t="shared" si="177"/>
        <v>0</v>
      </c>
      <c r="BE53" s="117"/>
      <c r="BF53" s="116">
        <f t="shared" si="178"/>
        <v>0</v>
      </c>
      <c r="BG53" s="116">
        <f t="shared" si="179"/>
        <v>0</v>
      </c>
      <c r="BH53" s="115"/>
      <c r="BI53" s="115"/>
      <c r="BJ53" s="115"/>
      <c r="BK53" s="115"/>
      <c r="BL53" s="115"/>
      <c r="BM53" s="365"/>
      <c r="BN53" s="116">
        <f t="shared" si="149"/>
        <v>0</v>
      </c>
      <c r="BO53" s="185">
        <f t="shared" si="180"/>
        <v>0</v>
      </c>
      <c r="BP53" s="185">
        <f t="shared" si="181"/>
        <v>0</v>
      </c>
      <c r="BQ53" s="185">
        <f t="shared" si="150"/>
        <v>0</v>
      </c>
      <c r="BR53" s="185">
        <f t="shared" si="151"/>
        <v>0</v>
      </c>
      <c r="BS53" s="365"/>
      <c r="BT53" s="365"/>
      <c r="BU53" s="123">
        <f t="shared" si="152"/>
        <v>0</v>
      </c>
      <c r="BV53" s="123">
        <f t="shared" si="182"/>
        <v>0</v>
      </c>
      <c r="BW53" s="116">
        <f t="shared" si="153"/>
        <v>0</v>
      </c>
      <c r="BX53" s="115"/>
      <c r="BY53" s="115"/>
      <c r="BZ53" s="115"/>
      <c r="CA53" s="365"/>
      <c r="CB53" s="116">
        <f t="shared" si="183"/>
        <v>0</v>
      </c>
      <c r="CC53" s="365"/>
      <c r="CD53" s="123">
        <f t="shared" si="184"/>
        <v>0</v>
      </c>
      <c r="CE53" s="116">
        <f t="shared" si="185"/>
        <v>0</v>
      </c>
      <c r="CF53" s="218"/>
      <c r="CG53" s="116">
        <f t="shared" si="186"/>
        <v>0</v>
      </c>
      <c r="CH53" s="218"/>
      <c r="CI53" s="116">
        <f t="shared" si="187"/>
        <v>0</v>
      </c>
      <c r="CJ53" s="116">
        <f t="shared" si="188"/>
        <v>0</v>
      </c>
      <c r="CK53" s="218"/>
      <c r="CL53" s="116">
        <f t="shared" si="189"/>
        <v>0</v>
      </c>
      <c r="CM53" s="218"/>
      <c r="CN53" s="116">
        <f t="shared" si="190"/>
        <v>0</v>
      </c>
      <c r="CO53" s="116">
        <f t="shared" si="191"/>
        <v>0</v>
      </c>
      <c r="CP53" s="115"/>
      <c r="CQ53" s="115"/>
      <c r="CR53" s="115"/>
      <c r="CS53" s="115"/>
      <c r="CT53" s="115"/>
      <c r="CU53" s="365"/>
      <c r="CV53" s="116">
        <f t="shared" si="154"/>
        <v>0</v>
      </c>
      <c r="CW53" s="185">
        <f t="shared" si="192"/>
        <v>0</v>
      </c>
      <c r="CX53" s="185">
        <f t="shared" si="193"/>
        <v>0</v>
      </c>
      <c r="CY53" s="185">
        <f t="shared" si="155"/>
        <v>0</v>
      </c>
      <c r="CZ53" s="185">
        <f t="shared" si="156"/>
        <v>0</v>
      </c>
      <c r="DA53" s="365"/>
      <c r="DB53" s="365"/>
      <c r="DC53" s="123">
        <f t="shared" si="157"/>
        <v>0</v>
      </c>
      <c r="DD53" s="123">
        <f t="shared" si="194"/>
        <v>0</v>
      </c>
      <c r="DE53" s="116">
        <f t="shared" si="158"/>
        <v>0</v>
      </c>
      <c r="DF53" s="115"/>
      <c r="DG53" s="115"/>
      <c r="DH53" s="115"/>
      <c r="DI53" s="365"/>
      <c r="DJ53" s="116">
        <f t="shared" si="195"/>
        <v>0</v>
      </c>
      <c r="DK53" s="365"/>
      <c r="DL53" s="123">
        <f t="shared" si="196"/>
        <v>0</v>
      </c>
      <c r="DM53" s="116">
        <f t="shared" si="197"/>
        <v>0</v>
      </c>
      <c r="DN53" s="218"/>
      <c r="DO53" s="116">
        <f t="shared" si="198"/>
        <v>0</v>
      </c>
      <c r="DP53" s="218"/>
      <c r="DQ53" s="116">
        <f t="shared" si="199"/>
        <v>0</v>
      </c>
      <c r="DR53" s="116">
        <f t="shared" si="200"/>
        <v>0</v>
      </c>
      <c r="DS53" s="218"/>
      <c r="DT53" s="116">
        <f t="shared" si="201"/>
        <v>0</v>
      </c>
      <c r="DU53" s="218"/>
      <c r="DV53" s="116">
        <f t="shared" si="202"/>
        <v>0</v>
      </c>
      <c r="DW53" s="116">
        <f t="shared" si="203"/>
        <v>0</v>
      </c>
      <c r="DX53" s="115"/>
      <c r="DY53" s="115"/>
      <c r="DZ53" s="115"/>
      <c r="EA53" s="115"/>
      <c r="EB53" s="115"/>
      <c r="EC53" s="365"/>
      <c r="ED53" s="116">
        <f t="shared" si="159"/>
        <v>0</v>
      </c>
      <c r="EE53" s="185">
        <f t="shared" si="204"/>
        <v>0</v>
      </c>
      <c r="EF53" s="185">
        <f t="shared" si="205"/>
        <v>0</v>
      </c>
      <c r="EG53" s="185">
        <f t="shared" si="160"/>
        <v>0</v>
      </c>
      <c r="EH53" s="185">
        <f t="shared" si="161"/>
        <v>0</v>
      </c>
      <c r="EI53" s="365"/>
      <c r="EJ53" s="365"/>
      <c r="EK53" s="123">
        <f t="shared" si="162"/>
        <v>0</v>
      </c>
      <c r="EL53" s="123">
        <f t="shared" si="206"/>
        <v>0</v>
      </c>
      <c r="EM53" s="116">
        <f t="shared" si="163"/>
        <v>0</v>
      </c>
      <c r="EN53" s="115"/>
      <c r="EO53" s="115"/>
      <c r="EP53" s="115"/>
      <c r="EQ53" s="365"/>
      <c r="ER53" s="116">
        <f t="shared" si="207"/>
        <v>0</v>
      </c>
      <c r="ES53" s="365"/>
      <c r="ET53" s="123">
        <f t="shared" si="208"/>
        <v>0</v>
      </c>
      <c r="EU53" s="116">
        <f t="shared" si="209"/>
        <v>0</v>
      </c>
      <c r="EV53" s="218"/>
      <c r="EW53" s="116">
        <f t="shared" si="210"/>
        <v>0</v>
      </c>
      <c r="EX53" s="218"/>
      <c r="EY53" s="116">
        <f t="shared" si="211"/>
        <v>0</v>
      </c>
      <c r="EZ53" s="116">
        <f t="shared" si="212"/>
        <v>0</v>
      </c>
      <c r="FA53" s="218"/>
      <c r="FB53" s="116">
        <f t="shared" si="213"/>
        <v>0</v>
      </c>
      <c r="FC53" s="218"/>
      <c r="FD53" s="116">
        <f t="shared" si="214"/>
        <v>0</v>
      </c>
      <c r="FE53" s="116">
        <f t="shared" si="215"/>
        <v>0</v>
      </c>
      <c r="FF53" s="115"/>
      <c r="FG53" s="115"/>
      <c r="FH53" s="115"/>
      <c r="FI53" s="115"/>
      <c r="FJ53" s="115"/>
      <c r="FK53" s="110" t="str">
        <f>$T46</f>
        <v>нет</v>
      </c>
      <c r="FL53" s="118" t="str">
        <f>IF($G46="","ACTI","DELD")</f>
        <v>ACTI</v>
      </c>
      <c r="FM53" s="119" t="str">
        <f>$I46 &amp; "." &amp; $AA53 &amp; ".1"</f>
        <v>1.5.1</v>
      </c>
      <c r="FN53" s="427"/>
      <c r="FO53" s="201"/>
      <c r="FP53" s="360"/>
      <c r="FQ53" s="360"/>
      <c r="FR53" s="360"/>
      <c r="FS53" s="204">
        <f t="shared" si="164"/>
        <v>0</v>
      </c>
      <c r="FT53" s="9"/>
      <c r="FU53" s="9"/>
      <c r="FV53" s="9"/>
      <c r="FW53" s="9"/>
      <c r="FX53" s="205"/>
      <c r="FY53" s="9"/>
      <c r="FZ53" s="206"/>
      <c r="GA53" s="46"/>
      <c r="GD53" s="192" t="str">
        <f>M46</f>
        <v>2633001132</v>
      </c>
      <c r="GE53" s="192" t="str">
        <f>N46</f>
        <v>263601001</v>
      </c>
      <c r="GF53" s="193" t="str">
        <f>MID(Q46,1,50) &amp; LEN(Q46)</f>
        <v>0</v>
      </c>
      <c r="GG53" s="192" t="str">
        <f>IF(S46="производство комбинированная выработка","COGENERATION","HEATING")</f>
        <v>HEATING</v>
      </c>
      <c r="GH53" s="194" t="str">
        <f t="shared" si="165"/>
        <v>Мазут :: ACTI</v>
      </c>
      <c r="GI53" s="194" t="str">
        <f t="shared" si="166"/>
        <v>2633001132::263601001::0::HEATING::Мазут :: ACTI</v>
      </c>
      <c r="GJ53" s="10"/>
      <c r="GK53" s="10"/>
      <c r="GL53" s="10"/>
      <c r="GM53" s="10"/>
    </row>
    <row r="54" spans="6:195" s="75" customFormat="1" ht="12" hidden="1" customHeight="1">
      <c r="F54" s="200"/>
      <c r="G54" s="406"/>
      <c r="H54" s="411"/>
      <c r="I54" s="412"/>
      <c r="J54" s="417"/>
      <c r="K54" s="417"/>
      <c r="L54" s="419"/>
      <c r="M54" s="418"/>
      <c r="N54" s="418"/>
      <c r="O54" s="418"/>
      <c r="P54" s="415"/>
      <c r="Q54" s="416"/>
      <c r="R54" s="426"/>
      <c r="S54" s="410"/>
      <c r="T54" s="432"/>
      <c r="U54" s="412"/>
      <c r="V54"/>
      <c r="W54"/>
      <c r="X54"/>
      <c r="Y54" s="425"/>
      <c r="Z54" s="112"/>
      <c r="AA54" s="111">
        <v>6</v>
      </c>
      <c r="AB54" s="113" t="s">
        <v>1620</v>
      </c>
      <c r="AC54" s="121" t="str">
        <f t="shared" si="167"/>
        <v>Нефть</v>
      </c>
      <c r="AD54" s="191" t="str">
        <f t="shared" si="143"/>
        <v>Нефть :: ACTI</v>
      </c>
      <c r="AE54" s="122"/>
      <c r="AF54" s="116">
        <f t="shared" si="144"/>
        <v>0</v>
      </c>
      <c r="AG54" s="185">
        <f t="shared" si="168"/>
        <v>0</v>
      </c>
      <c r="AH54" s="185">
        <f t="shared" si="169"/>
        <v>0</v>
      </c>
      <c r="AI54" s="185">
        <f t="shared" si="145"/>
        <v>0</v>
      </c>
      <c r="AJ54" s="185">
        <f t="shared" si="146"/>
        <v>0</v>
      </c>
      <c r="AK54" s="122"/>
      <c r="AL54" s="122"/>
      <c r="AM54" s="123">
        <f t="shared" si="147"/>
        <v>0</v>
      </c>
      <c r="AN54" s="123">
        <f t="shared" si="170"/>
        <v>0</v>
      </c>
      <c r="AO54" s="116">
        <f t="shared" si="148"/>
        <v>0</v>
      </c>
      <c r="AP54" s="115"/>
      <c r="AQ54" s="115"/>
      <c r="AR54" s="115"/>
      <c r="AS54" s="122"/>
      <c r="AT54" s="116">
        <f t="shared" si="171"/>
        <v>0</v>
      </c>
      <c r="AU54" s="122"/>
      <c r="AV54" s="123">
        <f t="shared" si="172"/>
        <v>0</v>
      </c>
      <c r="AW54" s="116">
        <f t="shared" si="173"/>
        <v>0</v>
      </c>
      <c r="AX54" s="117"/>
      <c r="AY54" s="116">
        <f t="shared" si="174"/>
        <v>0</v>
      </c>
      <c r="AZ54" s="117"/>
      <c r="BA54" s="116">
        <f t="shared" si="175"/>
        <v>0</v>
      </c>
      <c r="BB54" s="116">
        <f t="shared" si="176"/>
        <v>0</v>
      </c>
      <c r="BC54" s="117"/>
      <c r="BD54" s="116">
        <f t="shared" si="177"/>
        <v>0</v>
      </c>
      <c r="BE54" s="117"/>
      <c r="BF54" s="116">
        <f t="shared" si="178"/>
        <v>0</v>
      </c>
      <c r="BG54" s="116">
        <f t="shared" si="179"/>
        <v>0</v>
      </c>
      <c r="BH54" s="115"/>
      <c r="BI54" s="115"/>
      <c r="BJ54" s="115"/>
      <c r="BK54" s="115"/>
      <c r="BL54" s="115"/>
      <c r="BM54" s="365"/>
      <c r="BN54" s="116">
        <f t="shared" si="149"/>
        <v>0</v>
      </c>
      <c r="BO54" s="185">
        <f t="shared" si="180"/>
        <v>0</v>
      </c>
      <c r="BP54" s="185">
        <f t="shared" si="181"/>
        <v>0</v>
      </c>
      <c r="BQ54" s="185">
        <f t="shared" si="150"/>
        <v>0</v>
      </c>
      <c r="BR54" s="185">
        <f t="shared" si="151"/>
        <v>0</v>
      </c>
      <c r="BS54" s="365"/>
      <c r="BT54" s="365"/>
      <c r="BU54" s="123">
        <f t="shared" si="152"/>
        <v>0</v>
      </c>
      <c r="BV54" s="123">
        <f t="shared" si="182"/>
        <v>0</v>
      </c>
      <c r="BW54" s="116">
        <f t="shared" si="153"/>
        <v>0</v>
      </c>
      <c r="BX54" s="115"/>
      <c r="BY54" s="115"/>
      <c r="BZ54" s="115"/>
      <c r="CA54" s="365"/>
      <c r="CB54" s="116">
        <f t="shared" si="183"/>
        <v>0</v>
      </c>
      <c r="CC54" s="365"/>
      <c r="CD54" s="123">
        <f t="shared" si="184"/>
        <v>0</v>
      </c>
      <c r="CE54" s="116">
        <f t="shared" si="185"/>
        <v>0</v>
      </c>
      <c r="CF54" s="218"/>
      <c r="CG54" s="116">
        <f t="shared" si="186"/>
        <v>0</v>
      </c>
      <c r="CH54" s="218"/>
      <c r="CI54" s="116">
        <f t="shared" si="187"/>
        <v>0</v>
      </c>
      <c r="CJ54" s="116">
        <f t="shared" si="188"/>
        <v>0</v>
      </c>
      <c r="CK54" s="218"/>
      <c r="CL54" s="116">
        <f t="shared" si="189"/>
        <v>0</v>
      </c>
      <c r="CM54" s="218"/>
      <c r="CN54" s="116">
        <f t="shared" si="190"/>
        <v>0</v>
      </c>
      <c r="CO54" s="116">
        <f t="shared" si="191"/>
        <v>0</v>
      </c>
      <c r="CP54" s="115"/>
      <c r="CQ54" s="115"/>
      <c r="CR54" s="115"/>
      <c r="CS54" s="115"/>
      <c r="CT54" s="115"/>
      <c r="CU54" s="365"/>
      <c r="CV54" s="116">
        <f t="shared" si="154"/>
        <v>0</v>
      </c>
      <c r="CW54" s="185">
        <f t="shared" si="192"/>
        <v>0</v>
      </c>
      <c r="CX54" s="185">
        <f t="shared" si="193"/>
        <v>0</v>
      </c>
      <c r="CY54" s="185">
        <f t="shared" si="155"/>
        <v>0</v>
      </c>
      <c r="CZ54" s="185">
        <f t="shared" si="156"/>
        <v>0</v>
      </c>
      <c r="DA54" s="365"/>
      <c r="DB54" s="365"/>
      <c r="DC54" s="123">
        <f t="shared" si="157"/>
        <v>0</v>
      </c>
      <c r="DD54" s="123">
        <f t="shared" si="194"/>
        <v>0</v>
      </c>
      <c r="DE54" s="116">
        <f t="shared" si="158"/>
        <v>0</v>
      </c>
      <c r="DF54" s="115"/>
      <c r="DG54" s="115"/>
      <c r="DH54" s="115"/>
      <c r="DI54" s="365"/>
      <c r="DJ54" s="116">
        <f t="shared" si="195"/>
        <v>0</v>
      </c>
      <c r="DK54" s="365"/>
      <c r="DL54" s="123">
        <f t="shared" si="196"/>
        <v>0</v>
      </c>
      <c r="DM54" s="116">
        <f t="shared" si="197"/>
        <v>0</v>
      </c>
      <c r="DN54" s="218"/>
      <c r="DO54" s="116">
        <f t="shared" si="198"/>
        <v>0</v>
      </c>
      <c r="DP54" s="218"/>
      <c r="DQ54" s="116">
        <f t="shared" si="199"/>
        <v>0</v>
      </c>
      <c r="DR54" s="116">
        <f t="shared" si="200"/>
        <v>0</v>
      </c>
      <c r="DS54" s="218"/>
      <c r="DT54" s="116">
        <f t="shared" si="201"/>
        <v>0</v>
      </c>
      <c r="DU54" s="218"/>
      <c r="DV54" s="116">
        <f t="shared" si="202"/>
        <v>0</v>
      </c>
      <c r="DW54" s="116">
        <f t="shared" si="203"/>
        <v>0</v>
      </c>
      <c r="DX54" s="115"/>
      <c r="DY54" s="115"/>
      <c r="DZ54" s="115"/>
      <c r="EA54" s="115"/>
      <c r="EB54" s="115"/>
      <c r="EC54" s="365"/>
      <c r="ED54" s="116">
        <f t="shared" si="159"/>
        <v>0</v>
      </c>
      <c r="EE54" s="185">
        <f t="shared" si="204"/>
        <v>0</v>
      </c>
      <c r="EF54" s="185">
        <f t="shared" si="205"/>
        <v>0</v>
      </c>
      <c r="EG54" s="185">
        <f t="shared" si="160"/>
        <v>0</v>
      </c>
      <c r="EH54" s="185">
        <f t="shared" si="161"/>
        <v>0</v>
      </c>
      <c r="EI54" s="365"/>
      <c r="EJ54" s="365"/>
      <c r="EK54" s="123">
        <f t="shared" si="162"/>
        <v>0</v>
      </c>
      <c r="EL54" s="123">
        <f t="shared" si="206"/>
        <v>0</v>
      </c>
      <c r="EM54" s="116">
        <f t="shared" si="163"/>
        <v>0</v>
      </c>
      <c r="EN54" s="115"/>
      <c r="EO54" s="115"/>
      <c r="EP54" s="115"/>
      <c r="EQ54" s="365"/>
      <c r="ER54" s="116">
        <f t="shared" si="207"/>
        <v>0</v>
      </c>
      <c r="ES54" s="365"/>
      <c r="ET54" s="123">
        <f t="shared" si="208"/>
        <v>0</v>
      </c>
      <c r="EU54" s="116">
        <f t="shared" si="209"/>
        <v>0</v>
      </c>
      <c r="EV54" s="218"/>
      <c r="EW54" s="116">
        <f t="shared" si="210"/>
        <v>0</v>
      </c>
      <c r="EX54" s="218"/>
      <c r="EY54" s="116">
        <f t="shared" si="211"/>
        <v>0</v>
      </c>
      <c r="EZ54" s="116">
        <f t="shared" si="212"/>
        <v>0</v>
      </c>
      <c r="FA54" s="218"/>
      <c r="FB54" s="116">
        <f t="shared" si="213"/>
        <v>0</v>
      </c>
      <c r="FC54" s="218"/>
      <c r="FD54" s="116">
        <f t="shared" si="214"/>
        <v>0</v>
      </c>
      <c r="FE54" s="116">
        <f t="shared" si="215"/>
        <v>0</v>
      </c>
      <c r="FF54" s="115"/>
      <c r="FG54" s="115"/>
      <c r="FH54" s="115"/>
      <c r="FI54" s="115"/>
      <c r="FJ54" s="115"/>
      <c r="FK54" s="110" t="str">
        <f>$T46</f>
        <v>нет</v>
      </c>
      <c r="FL54" s="118" t="str">
        <f>IF($G46="","ACTI","DELD")</f>
        <v>ACTI</v>
      </c>
      <c r="FM54" s="119" t="str">
        <f>$I46 &amp; "." &amp; $AA54 &amp; ".1"</f>
        <v>1.6.1</v>
      </c>
      <c r="FN54" s="427"/>
      <c r="FO54" s="201"/>
      <c r="FP54" s="360"/>
      <c r="FQ54" s="360"/>
      <c r="FR54" s="360"/>
      <c r="FS54" s="204">
        <f t="shared" si="164"/>
        <v>0</v>
      </c>
      <c r="FT54" s="9"/>
      <c r="FU54" s="9"/>
      <c r="FV54" s="9"/>
      <c r="FW54" s="9"/>
      <c r="FX54" s="205"/>
      <c r="FY54" s="9"/>
      <c r="FZ54" s="206"/>
      <c r="GA54" s="46"/>
      <c r="GD54" s="192" t="str">
        <f>M46</f>
        <v>2633001132</v>
      </c>
      <c r="GE54" s="192" t="str">
        <f>N46</f>
        <v>263601001</v>
      </c>
      <c r="GF54" s="193" t="str">
        <f>MID(Q46,1,50) &amp; LEN(Q46)</f>
        <v>0</v>
      </c>
      <c r="GG54" s="192" t="str">
        <f>IF(S46="производство комбинированная выработка","COGENERATION","HEATING")</f>
        <v>HEATING</v>
      </c>
      <c r="GH54" s="194" t="str">
        <f t="shared" si="165"/>
        <v>Нефть :: ACTI</v>
      </c>
      <c r="GI54" s="194" t="str">
        <f t="shared" si="166"/>
        <v>2633001132::263601001::0::HEATING::Нефть :: ACTI</v>
      </c>
      <c r="GJ54" s="10"/>
      <c r="GK54" s="10"/>
      <c r="GL54" s="10"/>
      <c r="GM54" s="10"/>
    </row>
    <row r="55" spans="6:195" s="75" customFormat="1" ht="12" hidden="1" customHeight="1">
      <c r="F55" s="200"/>
      <c r="G55" s="406"/>
      <c r="H55" s="411"/>
      <c r="I55" s="412"/>
      <c r="J55" s="417"/>
      <c r="K55" s="417"/>
      <c r="L55" s="419"/>
      <c r="M55" s="418"/>
      <c r="N55" s="418"/>
      <c r="O55" s="418"/>
      <c r="P55" s="415"/>
      <c r="Q55" s="416"/>
      <c r="R55" s="426"/>
      <c r="S55" s="410"/>
      <c r="T55" s="432"/>
      <c r="U55" s="412"/>
      <c r="V55"/>
      <c r="W55"/>
      <c r="X55"/>
      <c r="Y55" s="425"/>
      <c r="Z55" s="112"/>
      <c r="AA55" s="111">
        <v>7</v>
      </c>
      <c r="AB55" s="113" t="s">
        <v>1578</v>
      </c>
      <c r="AC55" s="121" t="str">
        <f t="shared" si="167"/>
        <v>Уголь</v>
      </c>
      <c r="AD55" s="191" t="str">
        <f t="shared" si="143"/>
        <v>Уголь :: ACTI</v>
      </c>
      <c r="AE55" s="122"/>
      <c r="AF55" s="116">
        <f t="shared" si="144"/>
        <v>0</v>
      </c>
      <c r="AG55" s="185">
        <f t="shared" si="168"/>
        <v>0</v>
      </c>
      <c r="AH55" s="185">
        <f t="shared" si="169"/>
        <v>0</v>
      </c>
      <c r="AI55" s="185">
        <f t="shared" si="145"/>
        <v>0</v>
      </c>
      <c r="AJ55" s="185">
        <f t="shared" si="146"/>
        <v>0</v>
      </c>
      <c r="AK55" s="122"/>
      <c r="AL55" s="122"/>
      <c r="AM55" s="123">
        <f t="shared" si="147"/>
        <v>0</v>
      </c>
      <c r="AN55" s="123">
        <f t="shared" si="170"/>
        <v>0</v>
      </c>
      <c r="AO55" s="116">
        <f t="shared" si="148"/>
        <v>0</v>
      </c>
      <c r="AP55" s="115"/>
      <c r="AQ55" s="115"/>
      <c r="AR55" s="115"/>
      <c r="AS55" s="122"/>
      <c r="AT55" s="116">
        <f t="shared" si="171"/>
        <v>0</v>
      </c>
      <c r="AU55" s="122"/>
      <c r="AV55" s="123">
        <f t="shared" si="172"/>
        <v>0</v>
      </c>
      <c r="AW55" s="116">
        <f t="shared" si="173"/>
        <v>0</v>
      </c>
      <c r="AX55" s="117"/>
      <c r="AY55" s="116">
        <f t="shared" si="174"/>
        <v>0</v>
      </c>
      <c r="AZ55" s="117"/>
      <c r="BA55" s="116">
        <f t="shared" si="175"/>
        <v>0</v>
      </c>
      <c r="BB55" s="116">
        <f t="shared" si="176"/>
        <v>0</v>
      </c>
      <c r="BC55" s="117"/>
      <c r="BD55" s="116">
        <f t="shared" si="177"/>
        <v>0</v>
      </c>
      <c r="BE55" s="117"/>
      <c r="BF55" s="116">
        <f t="shared" si="178"/>
        <v>0</v>
      </c>
      <c r="BG55" s="116">
        <f t="shared" si="179"/>
        <v>0</v>
      </c>
      <c r="BH55" s="115"/>
      <c r="BI55" s="115"/>
      <c r="BJ55" s="115"/>
      <c r="BK55" s="115"/>
      <c r="BL55" s="115"/>
      <c r="BM55" s="365"/>
      <c r="BN55" s="116">
        <f t="shared" si="149"/>
        <v>0</v>
      </c>
      <c r="BO55" s="185">
        <f t="shared" si="180"/>
        <v>0</v>
      </c>
      <c r="BP55" s="185">
        <f t="shared" si="181"/>
        <v>0</v>
      </c>
      <c r="BQ55" s="185">
        <f t="shared" si="150"/>
        <v>0</v>
      </c>
      <c r="BR55" s="185">
        <f t="shared" si="151"/>
        <v>0</v>
      </c>
      <c r="BS55" s="365"/>
      <c r="BT55" s="365"/>
      <c r="BU55" s="123">
        <f t="shared" si="152"/>
        <v>0</v>
      </c>
      <c r="BV55" s="123">
        <f t="shared" si="182"/>
        <v>0</v>
      </c>
      <c r="BW55" s="116">
        <f t="shared" si="153"/>
        <v>0</v>
      </c>
      <c r="BX55" s="115"/>
      <c r="BY55" s="115"/>
      <c r="BZ55" s="115"/>
      <c r="CA55" s="365"/>
      <c r="CB55" s="116">
        <f t="shared" si="183"/>
        <v>0</v>
      </c>
      <c r="CC55" s="365"/>
      <c r="CD55" s="123">
        <f t="shared" si="184"/>
        <v>0</v>
      </c>
      <c r="CE55" s="116">
        <f t="shared" si="185"/>
        <v>0</v>
      </c>
      <c r="CF55" s="218"/>
      <c r="CG55" s="116">
        <f t="shared" si="186"/>
        <v>0</v>
      </c>
      <c r="CH55" s="218"/>
      <c r="CI55" s="116">
        <f t="shared" si="187"/>
        <v>0</v>
      </c>
      <c r="CJ55" s="116">
        <f t="shared" si="188"/>
        <v>0</v>
      </c>
      <c r="CK55" s="218"/>
      <c r="CL55" s="116">
        <f t="shared" si="189"/>
        <v>0</v>
      </c>
      <c r="CM55" s="218"/>
      <c r="CN55" s="116">
        <f t="shared" si="190"/>
        <v>0</v>
      </c>
      <c r="CO55" s="116">
        <f t="shared" si="191"/>
        <v>0</v>
      </c>
      <c r="CP55" s="115"/>
      <c r="CQ55" s="115"/>
      <c r="CR55" s="115"/>
      <c r="CS55" s="115"/>
      <c r="CT55" s="115"/>
      <c r="CU55" s="365"/>
      <c r="CV55" s="116">
        <f t="shared" si="154"/>
        <v>0</v>
      </c>
      <c r="CW55" s="185">
        <f t="shared" si="192"/>
        <v>0</v>
      </c>
      <c r="CX55" s="185">
        <f t="shared" si="193"/>
        <v>0</v>
      </c>
      <c r="CY55" s="185">
        <f t="shared" si="155"/>
        <v>0</v>
      </c>
      <c r="CZ55" s="185">
        <f t="shared" si="156"/>
        <v>0</v>
      </c>
      <c r="DA55" s="365"/>
      <c r="DB55" s="365"/>
      <c r="DC55" s="123">
        <f t="shared" si="157"/>
        <v>0</v>
      </c>
      <c r="DD55" s="123">
        <f t="shared" si="194"/>
        <v>0</v>
      </c>
      <c r="DE55" s="116">
        <f t="shared" si="158"/>
        <v>0</v>
      </c>
      <c r="DF55" s="115"/>
      <c r="DG55" s="115"/>
      <c r="DH55" s="115"/>
      <c r="DI55" s="365"/>
      <c r="DJ55" s="116">
        <f t="shared" si="195"/>
        <v>0</v>
      </c>
      <c r="DK55" s="365"/>
      <c r="DL55" s="123">
        <f t="shared" si="196"/>
        <v>0</v>
      </c>
      <c r="DM55" s="116">
        <f t="shared" si="197"/>
        <v>0</v>
      </c>
      <c r="DN55" s="218"/>
      <c r="DO55" s="116">
        <f t="shared" si="198"/>
        <v>0</v>
      </c>
      <c r="DP55" s="218"/>
      <c r="DQ55" s="116">
        <f t="shared" si="199"/>
        <v>0</v>
      </c>
      <c r="DR55" s="116">
        <f t="shared" si="200"/>
        <v>0</v>
      </c>
      <c r="DS55" s="218"/>
      <c r="DT55" s="116">
        <f t="shared" si="201"/>
        <v>0</v>
      </c>
      <c r="DU55" s="218"/>
      <c r="DV55" s="116">
        <f t="shared" si="202"/>
        <v>0</v>
      </c>
      <c r="DW55" s="116">
        <f t="shared" si="203"/>
        <v>0</v>
      </c>
      <c r="DX55" s="115"/>
      <c r="DY55" s="115"/>
      <c r="DZ55" s="115"/>
      <c r="EA55" s="115"/>
      <c r="EB55" s="115"/>
      <c r="EC55" s="365"/>
      <c r="ED55" s="116">
        <f t="shared" si="159"/>
        <v>0</v>
      </c>
      <c r="EE55" s="185">
        <f t="shared" si="204"/>
        <v>0</v>
      </c>
      <c r="EF55" s="185">
        <f t="shared" si="205"/>
        <v>0</v>
      </c>
      <c r="EG55" s="185">
        <f t="shared" si="160"/>
        <v>0</v>
      </c>
      <c r="EH55" s="185">
        <f t="shared" si="161"/>
        <v>0</v>
      </c>
      <c r="EI55" s="365"/>
      <c r="EJ55" s="365"/>
      <c r="EK55" s="123">
        <f t="shared" si="162"/>
        <v>0</v>
      </c>
      <c r="EL55" s="123">
        <f t="shared" si="206"/>
        <v>0</v>
      </c>
      <c r="EM55" s="116">
        <f t="shared" si="163"/>
        <v>0</v>
      </c>
      <c r="EN55" s="115"/>
      <c r="EO55" s="115"/>
      <c r="EP55" s="115"/>
      <c r="EQ55" s="365"/>
      <c r="ER55" s="116">
        <f t="shared" si="207"/>
        <v>0</v>
      </c>
      <c r="ES55" s="365"/>
      <c r="ET55" s="123">
        <f t="shared" si="208"/>
        <v>0</v>
      </c>
      <c r="EU55" s="116">
        <f t="shared" si="209"/>
        <v>0</v>
      </c>
      <c r="EV55" s="218"/>
      <c r="EW55" s="116">
        <f t="shared" si="210"/>
        <v>0</v>
      </c>
      <c r="EX55" s="218"/>
      <c r="EY55" s="116">
        <f t="shared" si="211"/>
        <v>0</v>
      </c>
      <c r="EZ55" s="116">
        <f t="shared" si="212"/>
        <v>0</v>
      </c>
      <c r="FA55" s="218"/>
      <c r="FB55" s="116">
        <f t="shared" si="213"/>
        <v>0</v>
      </c>
      <c r="FC55" s="218"/>
      <c r="FD55" s="116">
        <f t="shared" si="214"/>
        <v>0</v>
      </c>
      <c r="FE55" s="116">
        <f t="shared" si="215"/>
        <v>0</v>
      </c>
      <c r="FF55" s="115"/>
      <c r="FG55" s="115"/>
      <c r="FH55" s="115"/>
      <c r="FI55" s="115"/>
      <c r="FJ55" s="115"/>
      <c r="FK55" s="110" t="str">
        <f>$T46</f>
        <v>нет</v>
      </c>
      <c r="FL55" s="118" t="str">
        <f>IF($G46="","ACTI","DELD")</f>
        <v>ACTI</v>
      </c>
      <c r="FM55" s="119" t="str">
        <f>$I46 &amp; "." &amp; $AA55 &amp; ".1"</f>
        <v>1.7.1</v>
      </c>
      <c r="FN55" s="427"/>
      <c r="FO55" s="201"/>
      <c r="FP55" s="360"/>
      <c r="FQ55" s="360"/>
      <c r="FR55" s="360"/>
      <c r="FS55" s="204">
        <f t="shared" si="164"/>
        <v>0</v>
      </c>
      <c r="FT55" s="9"/>
      <c r="FU55" s="9"/>
      <c r="FV55" s="9"/>
      <c r="FW55" s="9"/>
      <c r="FX55" s="205"/>
      <c r="FY55" s="9"/>
      <c r="FZ55" s="206"/>
      <c r="GA55" s="46"/>
      <c r="GD55" s="192" t="str">
        <f>M46</f>
        <v>2633001132</v>
      </c>
      <c r="GE55" s="192" t="str">
        <f>N46</f>
        <v>263601001</v>
      </c>
      <c r="GF55" s="193" t="str">
        <f>MID(Q46,1,50) &amp; LEN(Q46)</f>
        <v>0</v>
      </c>
      <c r="GG55" s="192" t="str">
        <f>IF(S46="производство комбинированная выработка","COGENERATION","HEATING")</f>
        <v>HEATING</v>
      </c>
      <c r="GH55" s="194" t="str">
        <f t="shared" si="165"/>
        <v>Уголь :: ACTI</v>
      </c>
      <c r="GI55" s="194" t="str">
        <f t="shared" si="166"/>
        <v>2633001132::263601001::0::HEATING::Уголь :: ACTI</v>
      </c>
      <c r="GJ55" s="10"/>
      <c r="GK55" s="10"/>
      <c r="GL55" s="10"/>
      <c r="GM55" s="10"/>
    </row>
    <row r="56" spans="6:195" s="75" customFormat="1" ht="12" hidden="1" customHeight="1">
      <c r="F56" s="200"/>
      <c r="G56" s="406"/>
      <c r="H56" s="411"/>
      <c r="I56" s="412"/>
      <c r="J56" s="417"/>
      <c r="K56" s="417"/>
      <c r="L56" s="419"/>
      <c r="M56" s="418"/>
      <c r="N56" s="418"/>
      <c r="O56" s="418"/>
      <c r="P56" s="415"/>
      <c r="Q56" s="416"/>
      <c r="R56" s="426"/>
      <c r="S56" s="410"/>
      <c r="T56" s="432"/>
      <c r="U56" s="412"/>
      <c r="V56"/>
      <c r="W56"/>
      <c r="X56"/>
      <c r="Y56" s="425"/>
      <c r="Z56" s="112"/>
      <c r="AA56" s="424">
        <v>8</v>
      </c>
      <c r="AB56" s="413" t="s">
        <v>1621</v>
      </c>
      <c r="AC56" s="124" t="s">
        <v>1663</v>
      </c>
      <c r="AD56" s="191" t="str">
        <f t="shared" si="143"/>
        <v>Энергия :: ACTI</v>
      </c>
      <c r="AE56" s="115"/>
      <c r="AF56" s="115"/>
      <c r="AG56" s="186"/>
      <c r="AH56" s="186"/>
      <c r="AI56" s="186"/>
      <c r="AJ56" s="186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23">
        <f>BJ56*BK56</f>
        <v>0</v>
      </c>
      <c r="BI56" s="116">
        <f>IF($FK56="да",BH56*1.18,BH56)</f>
        <v>0</v>
      </c>
      <c r="BJ56" s="117"/>
      <c r="BK56" s="117"/>
      <c r="BL56" s="116">
        <f>IF($FK56="да",BK56*1.18,BK56)</f>
        <v>0</v>
      </c>
      <c r="BM56" s="115"/>
      <c r="BN56" s="115"/>
      <c r="BO56" s="186"/>
      <c r="BP56" s="186"/>
      <c r="BQ56" s="186"/>
      <c r="BR56" s="186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23">
        <f>CR56*CS56</f>
        <v>0</v>
      </c>
      <c r="CQ56" s="116">
        <f>IF($FK56="да",CP56*1.18,CP56)</f>
        <v>0</v>
      </c>
      <c r="CR56" s="218"/>
      <c r="CS56" s="218"/>
      <c r="CT56" s="116">
        <f>IF($FK56="да",CS56*1.18,CS56)</f>
        <v>0</v>
      </c>
      <c r="CU56" s="115"/>
      <c r="CV56" s="115"/>
      <c r="CW56" s="186"/>
      <c r="CX56" s="186"/>
      <c r="CY56" s="186"/>
      <c r="CZ56" s="186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23">
        <f>DZ56*EA56</f>
        <v>0</v>
      </c>
      <c r="DY56" s="116">
        <f>IF($FK56="да",DX56*1.18,DX56)</f>
        <v>0</v>
      </c>
      <c r="DZ56" s="218"/>
      <c r="EA56" s="218"/>
      <c r="EB56" s="116">
        <f>IF($FK56="да",EA56*1.18,EA56)</f>
        <v>0</v>
      </c>
      <c r="EC56" s="115"/>
      <c r="ED56" s="115"/>
      <c r="EE56" s="186"/>
      <c r="EF56" s="186"/>
      <c r="EG56" s="186"/>
      <c r="EH56" s="186"/>
      <c r="EI56" s="115"/>
      <c r="EJ56" s="115"/>
      <c r="EK56" s="115"/>
      <c r="EL56" s="115"/>
      <c r="EM56" s="115"/>
      <c r="EN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23">
        <f>FH56*FI56</f>
        <v>0</v>
      </c>
      <c r="FG56" s="116">
        <f>IF($FK56="да",FF56*1.18,FF56)</f>
        <v>0</v>
      </c>
      <c r="FH56" s="218"/>
      <c r="FI56" s="218"/>
      <c r="FJ56" s="116">
        <f>IF($FK56="да",FI56*1.18,FI56)</f>
        <v>0</v>
      </c>
      <c r="FK56" s="110" t="str">
        <f>$T46</f>
        <v>нет</v>
      </c>
      <c r="FL56" s="118" t="str">
        <f>IF($G46="","ACTI","DELD")</f>
        <v>ACTI</v>
      </c>
      <c r="FM56" s="119" t="str">
        <f>$I46 &amp; "." &amp; $AA56 &amp; ".1"</f>
        <v>1.8.1</v>
      </c>
      <c r="FN56" s="427"/>
      <c r="FO56" s="423"/>
      <c r="FP56" s="420"/>
      <c r="FQ56" s="420"/>
      <c r="FR56" s="420"/>
      <c r="FS56" s="204">
        <f t="shared" si="164"/>
        <v>0</v>
      </c>
      <c r="FT56" s="9"/>
      <c r="FU56" s="9"/>
      <c r="FV56" s="9"/>
      <c r="FW56" s="9"/>
      <c r="FX56" s="205"/>
      <c r="FY56" s="9"/>
      <c r="FZ56" s="206"/>
      <c r="GA56" s="46"/>
      <c r="GD56" s="192" t="str">
        <f>M46</f>
        <v>2633001132</v>
      </c>
      <c r="GE56" s="192" t="str">
        <f>N46</f>
        <v>263601001</v>
      </c>
      <c r="GF56" s="193" t="str">
        <f>MID(Q46,1,50) &amp; LEN(Q46)</f>
        <v>0</v>
      </c>
      <c r="GG56" s="192" t="str">
        <f>IF(S46="производство комбинированная выработка","COGENERATION","HEATING")</f>
        <v>HEATING</v>
      </c>
      <c r="GH56" s="194" t="str">
        <f t="shared" si="165"/>
        <v>Энергия :: ACTI</v>
      </c>
      <c r="GI56" s="194" t="str">
        <f t="shared" si="166"/>
        <v>2633001132::263601001::0::HEATING::Энергия :: ACTI</v>
      </c>
      <c r="GJ56" s="10"/>
      <c r="GK56" s="10"/>
      <c r="GL56" s="10"/>
      <c r="GM56" s="10"/>
    </row>
    <row r="57" spans="6:195" s="75" customFormat="1" ht="12" hidden="1" customHeight="1">
      <c r="F57" s="200"/>
      <c r="G57" s="406"/>
      <c r="H57" s="411"/>
      <c r="I57" s="412"/>
      <c r="J57" s="417"/>
      <c r="K57" s="417"/>
      <c r="L57" s="419"/>
      <c r="M57" s="418"/>
      <c r="N57" s="418"/>
      <c r="O57" s="418"/>
      <c r="P57" s="415"/>
      <c r="Q57" s="416"/>
      <c r="R57" s="426"/>
      <c r="S57" s="410"/>
      <c r="T57" s="432"/>
      <c r="U57" s="412"/>
      <c r="V57"/>
      <c r="W57"/>
      <c r="X57"/>
      <c r="Y57" s="425"/>
      <c r="Z57" s="112"/>
      <c r="AA57" s="424"/>
      <c r="AB57" s="421"/>
      <c r="AC57" s="124" t="s">
        <v>1664</v>
      </c>
      <c r="AD57" s="191" t="str">
        <f t="shared" si="143"/>
        <v>Заявленная мощность :: ACTI</v>
      </c>
      <c r="AE57" s="115"/>
      <c r="AF57" s="115"/>
      <c r="AG57" s="186"/>
      <c r="AH57" s="186"/>
      <c r="AI57" s="186"/>
      <c r="AJ57" s="186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23">
        <f>BJ57*BK57</f>
        <v>0</v>
      </c>
      <c r="BI57" s="116">
        <f>IF($FK57="да",BH57*1.18,BH57)</f>
        <v>0</v>
      </c>
      <c r="BJ57" s="117"/>
      <c r="BK57" s="117"/>
      <c r="BL57" s="116">
        <f>IF($FK57="да",BK57*1.18,BK57)</f>
        <v>0</v>
      </c>
      <c r="BM57" s="115"/>
      <c r="BN57" s="115"/>
      <c r="BO57" s="186"/>
      <c r="BP57" s="186"/>
      <c r="BQ57" s="186"/>
      <c r="BR57" s="186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23">
        <f>CR57*CS57</f>
        <v>0</v>
      </c>
      <c r="CQ57" s="116">
        <f>IF($FK57="да",CP57*1.18,CP57)</f>
        <v>0</v>
      </c>
      <c r="CR57" s="218"/>
      <c r="CS57" s="218"/>
      <c r="CT57" s="116">
        <f>IF($FK57="да",CS57*1.18,CS57)</f>
        <v>0</v>
      </c>
      <c r="CU57" s="115"/>
      <c r="CV57" s="115"/>
      <c r="CW57" s="186"/>
      <c r="CX57" s="186"/>
      <c r="CY57" s="186"/>
      <c r="CZ57" s="186"/>
      <c r="DA57" s="115"/>
      <c r="DB57" s="115"/>
      <c r="DC57" s="115"/>
      <c r="DD57" s="115"/>
      <c r="DE57" s="115"/>
      <c r="DF57" s="115"/>
      <c r="DG57" s="115"/>
      <c r="DH57" s="115"/>
      <c r="DI57" s="115"/>
      <c r="DJ57" s="115"/>
      <c r="DK57" s="115"/>
      <c r="DL57" s="115"/>
      <c r="DM57" s="115"/>
      <c r="DN57" s="115"/>
      <c r="DO57" s="115"/>
      <c r="DP57" s="115"/>
      <c r="DQ57" s="115"/>
      <c r="DR57" s="115"/>
      <c r="DS57" s="115"/>
      <c r="DT57" s="115"/>
      <c r="DU57" s="115"/>
      <c r="DV57" s="115"/>
      <c r="DW57" s="115"/>
      <c r="DX57" s="123">
        <f>DZ57*EA57</f>
        <v>0</v>
      </c>
      <c r="DY57" s="116">
        <f>IF($FK57="да",DX57*1.18,DX57)</f>
        <v>0</v>
      </c>
      <c r="DZ57" s="218"/>
      <c r="EA57" s="218"/>
      <c r="EB57" s="116">
        <f>IF($FK57="да",EA57*1.18,EA57)</f>
        <v>0</v>
      </c>
      <c r="EC57" s="115"/>
      <c r="ED57" s="115"/>
      <c r="EE57" s="186"/>
      <c r="EF57" s="186"/>
      <c r="EG57" s="186"/>
      <c r="EH57" s="186"/>
      <c r="EI57" s="115"/>
      <c r="EJ57" s="115"/>
      <c r="EK57" s="115"/>
      <c r="EL57" s="115"/>
      <c r="EM57" s="115"/>
      <c r="EN57" s="115"/>
      <c r="EO57" s="115"/>
      <c r="EP57" s="115"/>
      <c r="EQ57" s="115"/>
      <c r="ER57" s="115"/>
      <c r="ES57" s="115"/>
      <c r="ET57" s="115"/>
      <c r="EU57" s="115"/>
      <c r="EV57" s="115"/>
      <c r="EW57" s="115"/>
      <c r="EX57" s="115"/>
      <c r="EY57" s="115"/>
      <c r="EZ57" s="115"/>
      <c r="FA57" s="115"/>
      <c r="FB57" s="115"/>
      <c r="FC57" s="115"/>
      <c r="FD57" s="115"/>
      <c r="FE57" s="115"/>
      <c r="FF57" s="123">
        <f>FH57*FI57</f>
        <v>0</v>
      </c>
      <c r="FG57" s="116">
        <f>IF($FK57="да",FF57*1.18,FF57)</f>
        <v>0</v>
      </c>
      <c r="FH57" s="218"/>
      <c r="FI57" s="218"/>
      <c r="FJ57" s="116">
        <f>IF($FK57="да",FI57*1.18,FI57)</f>
        <v>0</v>
      </c>
      <c r="FK57" s="110" t="str">
        <f>$T46</f>
        <v>нет</v>
      </c>
      <c r="FL57" s="118" t="str">
        <f>IF($G46="","ACTI","DELD")</f>
        <v>ACTI</v>
      </c>
      <c r="FM57" s="119" t="str">
        <f>$I46 &amp; "." &amp; $AA56 &amp; ".2"</f>
        <v>1.8.2</v>
      </c>
      <c r="FN57" s="427"/>
      <c r="FO57" s="423"/>
      <c r="FP57" s="420"/>
      <c r="FQ57" s="420"/>
      <c r="FR57" s="420"/>
      <c r="FS57" s="204">
        <f t="shared" si="164"/>
        <v>0</v>
      </c>
      <c r="FT57" s="9"/>
      <c r="FU57" s="9"/>
      <c r="FV57" s="9"/>
      <c r="FW57" s="9"/>
      <c r="FX57" s="205"/>
      <c r="FY57" s="9"/>
      <c r="FZ57" s="206"/>
      <c r="GA57" s="46"/>
      <c r="GD57" s="192" t="str">
        <f>M46</f>
        <v>2633001132</v>
      </c>
      <c r="GE57" s="192" t="str">
        <f>N46</f>
        <v>263601001</v>
      </c>
      <c r="GF57" s="193" t="str">
        <f>MID(Q46,1,50) &amp; LEN(Q46)</f>
        <v>0</v>
      </c>
      <c r="GG57" s="192" t="str">
        <f>IF(S46="производство комбинированная выработка","COGENERATION","HEATING")</f>
        <v>HEATING</v>
      </c>
      <c r="GH57" s="194" t="str">
        <f t="shared" si="165"/>
        <v>Заявленная мощность :: ACTI</v>
      </c>
      <c r="GI57" s="194" t="str">
        <f t="shared" si="166"/>
        <v>2633001132::263601001::0::HEATING::Заявленная мощность :: ACTI</v>
      </c>
      <c r="GJ57" s="10"/>
      <c r="GK57" s="10"/>
      <c r="GL57" s="10"/>
      <c r="GM57" s="10"/>
    </row>
    <row r="58" spans="6:195" s="75" customFormat="1" ht="12" hidden="1" customHeight="1">
      <c r="F58" s="200"/>
      <c r="G58" s="406"/>
      <c r="H58" s="411"/>
      <c r="I58" s="412"/>
      <c r="J58" s="417"/>
      <c r="K58" s="417"/>
      <c r="L58" s="419"/>
      <c r="M58" s="418"/>
      <c r="N58" s="418"/>
      <c r="O58" s="418"/>
      <c r="P58" s="415"/>
      <c r="Q58" s="416"/>
      <c r="R58" s="426"/>
      <c r="S58" s="410"/>
      <c r="T58" s="432"/>
      <c r="U58" s="412"/>
      <c r="V58"/>
      <c r="W58"/>
      <c r="X58"/>
      <c r="Y58" s="425"/>
      <c r="Z58" s="112"/>
      <c r="AA58" s="111" t="s">
        <v>1708</v>
      </c>
      <c r="AB58" s="113" t="s">
        <v>1744</v>
      </c>
      <c r="AC58" s="121" t="str">
        <f t="shared" ref="AC58:AC63" si="216">AB58</f>
        <v>Дрова</v>
      </c>
      <c r="AD58" s="191" t="str">
        <f t="shared" si="143"/>
        <v>Дрова :: ACTI</v>
      </c>
      <c r="AE58" s="122"/>
      <c r="AF58" s="116">
        <f t="shared" ref="AF58:AF64" si="217">IF($FK58="да",AE58*1.18,AE58)</f>
        <v>0</v>
      </c>
      <c r="AG58" s="185">
        <f t="shared" ref="AG58:AG64" si="218">IF(AK58=0,0,AN58/AK58*1000)</f>
        <v>0</v>
      </c>
      <c r="AH58" s="185">
        <f t="shared" ref="AH58:AH64" si="219">IF(AK58=0,0,AO58/AK58*1000)</f>
        <v>0</v>
      </c>
      <c r="AI58" s="185">
        <f t="shared" ref="AI58:AI64" si="220">IF(AM58=0,0,AN58/AM58*1000)</f>
        <v>0</v>
      </c>
      <c r="AJ58" s="185">
        <f t="shared" ref="AJ58:AJ64" si="221">IF(AM58=0,0,AO58/AM58*1000)</f>
        <v>0</v>
      </c>
      <c r="AK58" s="122"/>
      <c r="AL58" s="122"/>
      <c r="AM58" s="123">
        <f t="shared" ref="AM58:AM64" si="222">AK58*AL58</f>
        <v>0</v>
      </c>
      <c r="AN58" s="123">
        <f t="shared" ref="AN58:AN64" si="223">AE58*AK58/1000+AV58+BA58+BF58</f>
        <v>0</v>
      </c>
      <c r="AO58" s="116">
        <f t="shared" ref="AO58:AO64" si="224">IF($FK58="да",AN58*1.18,AN58)</f>
        <v>0</v>
      </c>
      <c r="AP58" s="115"/>
      <c r="AQ58" s="115"/>
      <c r="AR58" s="115"/>
      <c r="AS58" s="122"/>
      <c r="AT58" s="116">
        <f t="shared" ref="AT58:AT64" si="225">IF($FK58="да",AS58*1.18,AS58)</f>
        <v>0</v>
      </c>
      <c r="AU58" s="122"/>
      <c r="AV58" s="123">
        <f t="shared" ref="AV58:AV64" si="226">AS58*AU58/1000</f>
        <v>0</v>
      </c>
      <c r="AW58" s="116">
        <f t="shared" ref="AW58:AW64" si="227">IF($FK58="да",AV58*1.18,AV58)</f>
        <v>0</v>
      </c>
      <c r="AX58" s="117"/>
      <c r="AY58" s="116">
        <f t="shared" ref="AY58:AY64" si="228">IF($FK58="да",AX58*1.18,AX58)</f>
        <v>0</v>
      </c>
      <c r="AZ58" s="117"/>
      <c r="BA58" s="116">
        <f t="shared" ref="BA58:BA64" si="229">AX58*AZ58/1000</f>
        <v>0</v>
      </c>
      <c r="BB58" s="116">
        <f t="shared" ref="BB58:BB64" si="230">IF($FK58="да",BA58*1.18,BA58)</f>
        <v>0</v>
      </c>
      <c r="BC58" s="117"/>
      <c r="BD58" s="116">
        <f t="shared" ref="BD58:BD64" si="231">IF($FK58="да",BC58*1.18,BC58)</f>
        <v>0</v>
      </c>
      <c r="BE58" s="117"/>
      <c r="BF58" s="116">
        <f t="shared" ref="BF58:BF64" si="232">BC58*BE58/1000</f>
        <v>0</v>
      </c>
      <c r="BG58" s="116">
        <f t="shared" ref="BG58:BG64" si="233">IF($FK58="да",BF58*1.18,BF58)</f>
        <v>0</v>
      </c>
      <c r="BH58" s="115"/>
      <c r="BI58" s="115"/>
      <c r="BJ58" s="115"/>
      <c r="BK58" s="115"/>
      <c r="BL58" s="115"/>
      <c r="BM58" s="365"/>
      <c r="BN58" s="116">
        <f t="shared" ref="BN58:BN64" si="234">IF($FK58="да",BM58*1.18,BM58)</f>
        <v>0</v>
      </c>
      <c r="BO58" s="185">
        <f t="shared" ref="BO58:BO64" si="235">IF(BS58=0,0,BV58/BS58*1000)</f>
        <v>0</v>
      </c>
      <c r="BP58" s="185">
        <f t="shared" ref="BP58:BP64" si="236">IF(BS58=0,0,BW58/BS58*1000)</f>
        <v>0</v>
      </c>
      <c r="BQ58" s="185">
        <f t="shared" ref="BQ58:BQ64" si="237">IF(BU58=0,0,BV58/BU58*1000)</f>
        <v>0</v>
      </c>
      <c r="BR58" s="185">
        <f t="shared" ref="BR58:BR64" si="238">IF(BU58=0,0,BW58/BU58*1000)</f>
        <v>0</v>
      </c>
      <c r="BS58" s="365"/>
      <c r="BT58" s="365"/>
      <c r="BU58" s="123">
        <f t="shared" ref="BU58:BU64" si="239">BS58*BT58</f>
        <v>0</v>
      </c>
      <c r="BV58" s="123">
        <f t="shared" ref="BV58:BV64" si="240">BM58*BS58/1000+CD58+CI58+CN58</f>
        <v>0</v>
      </c>
      <c r="BW58" s="116">
        <f t="shared" ref="BW58:BW64" si="241">IF($FK58="да",BV58*1.18,BV58)</f>
        <v>0</v>
      </c>
      <c r="BX58" s="115"/>
      <c r="BY58" s="115"/>
      <c r="BZ58" s="115"/>
      <c r="CA58" s="365"/>
      <c r="CB58" s="116">
        <f t="shared" ref="CB58:CB64" si="242">IF($FK58="да",CA58*1.18,CA58)</f>
        <v>0</v>
      </c>
      <c r="CC58" s="365"/>
      <c r="CD58" s="123">
        <f t="shared" ref="CD58:CD64" si="243">CA58*CC58/1000</f>
        <v>0</v>
      </c>
      <c r="CE58" s="116">
        <f t="shared" ref="CE58:CE64" si="244">IF($FK58="да",CD58*1.18,CD58)</f>
        <v>0</v>
      </c>
      <c r="CF58" s="218"/>
      <c r="CG58" s="116">
        <f t="shared" ref="CG58:CG64" si="245">IF($FK58="да",CF58*1.18,CF58)</f>
        <v>0</v>
      </c>
      <c r="CH58" s="218"/>
      <c r="CI58" s="116">
        <f t="shared" ref="CI58:CI64" si="246">CF58*CH58/1000</f>
        <v>0</v>
      </c>
      <c r="CJ58" s="116">
        <f t="shared" ref="CJ58:CJ64" si="247">IF($FK58="да",CI58*1.18,CI58)</f>
        <v>0</v>
      </c>
      <c r="CK58" s="218"/>
      <c r="CL58" s="116">
        <f t="shared" ref="CL58:CL64" si="248">IF($FK58="да",CK58*1.18,CK58)</f>
        <v>0</v>
      </c>
      <c r="CM58" s="218"/>
      <c r="CN58" s="116">
        <f t="shared" ref="CN58:CN64" si="249">CK58*CM58/1000</f>
        <v>0</v>
      </c>
      <c r="CO58" s="116">
        <f t="shared" ref="CO58:CO64" si="250">IF($FK58="да",CN58*1.18,CN58)</f>
        <v>0</v>
      </c>
      <c r="CP58" s="115"/>
      <c r="CQ58" s="115"/>
      <c r="CR58" s="115"/>
      <c r="CS58" s="115"/>
      <c r="CT58" s="115"/>
      <c r="CU58" s="365"/>
      <c r="CV58" s="116">
        <f t="shared" ref="CV58:CV64" si="251">IF($FK58="да",CU58*1.18,CU58)</f>
        <v>0</v>
      </c>
      <c r="CW58" s="185">
        <f t="shared" ref="CW58:CW64" si="252">IF(DA58=0,0,DD58/DA58*1000)</f>
        <v>0</v>
      </c>
      <c r="CX58" s="185">
        <f t="shared" ref="CX58:CX64" si="253">IF(DA58=0,0,DE58/DA58*1000)</f>
        <v>0</v>
      </c>
      <c r="CY58" s="185">
        <f t="shared" ref="CY58:CY64" si="254">IF(DC58=0,0,DD58/DC58*1000)</f>
        <v>0</v>
      </c>
      <c r="CZ58" s="185">
        <f t="shared" ref="CZ58:CZ64" si="255">IF(DC58=0,0,DE58/DC58*1000)</f>
        <v>0</v>
      </c>
      <c r="DA58" s="365"/>
      <c r="DB58" s="365"/>
      <c r="DC58" s="123">
        <f t="shared" ref="DC58:DC64" si="256">DA58*DB58</f>
        <v>0</v>
      </c>
      <c r="DD58" s="123">
        <f t="shared" ref="DD58:DD64" si="257">CU58*DA58/1000+DL58+DQ58+DV58</f>
        <v>0</v>
      </c>
      <c r="DE58" s="116">
        <f t="shared" ref="DE58:DE64" si="258">IF($FK58="да",DD58*1.18,DD58)</f>
        <v>0</v>
      </c>
      <c r="DF58" s="115"/>
      <c r="DG58" s="115"/>
      <c r="DH58" s="115"/>
      <c r="DI58" s="365"/>
      <c r="DJ58" s="116">
        <f t="shared" ref="DJ58:DJ64" si="259">IF($FK58="да",DI58*1.18,DI58)</f>
        <v>0</v>
      </c>
      <c r="DK58" s="365"/>
      <c r="DL58" s="123">
        <f t="shared" ref="DL58:DL64" si="260">DI58*DK58/1000</f>
        <v>0</v>
      </c>
      <c r="DM58" s="116">
        <f t="shared" ref="DM58:DM64" si="261">IF($FK58="да",DL58*1.18,DL58)</f>
        <v>0</v>
      </c>
      <c r="DN58" s="218"/>
      <c r="DO58" s="116">
        <f t="shared" ref="DO58:DO64" si="262">IF($FK58="да",DN58*1.18,DN58)</f>
        <v>0</v>
      </c>
      <c r="DP58" s="218"/>
      <c r="DQ58" s="116">
        <f t="shared" ref="DQ58:DQ64" si="263">DN58*DP58/1000</f>
        <v>0</v>
      </c>
      <c r="DR58" s="116">
        <f t="shared" ref="DR58:DR64" si="264">IF($FK58="да",DQ58*1.18,DQ58)</f>
        <v>0</v>
      </c>
      <c r="DS58" s="218"/>
      <c r="DT58" s="116">
        <f t="shared" ref="DT58:DT64" si="265">IF($FK58="да",DS58*1.18,DS58)</f>
        <v>0</v>
      </c>
      <c r="DU58" s="218"/>
      <c r="DV58" s="116">
        <f t="shared" ref="DV58:DV64" si="266">DS58*DU58/1000</f>
        <v>0</v>
      </c>
      <c r="DW58" s="116">
        <f t="shared" ref="DW58:DW64" si="267">IF($FK58="да",DV58*1.18,DV58)</f>
        <v>0</v>
      </c>
      <c r="DX58" s="115"/>
      <c r="DY58" s="115"/>
      <c r="DZ58" s="115"/>
      <c r="EA58" s="115"/>
      <c r="EB58" s="115"/>
      <c r="EC58" s="365"/>
      <c r="ED58" s="116">
        <f t="shared" ref="ED58:ED64" si="268">IF($FK58="да",EC58*1.18,EC58)</f>
        <v>0</v>
      </c>
      <c r="EE58" s="185">
        <f t="shared" ref="EE58:EE64" si="269">IF(EI58=0,0,EL58/EI58*1000)</f>
        <v>0</v>
      </c>
      <c r="EF58" s="185">
        <f t="shared" ref="EF58:EF64" si="270">IF(EI58=0,0,EM58/EI58*1000)</f>
        <v>0</v>
      </c>
      <c r="EG58" s="185">
        <f t="shared" ref="EG58:EG64" si="271">IF(EK58=0,0,EL58/EK58*1000)</f>
        <v>0</v>
      </c>
      <c r="EH58" s="185">
        <f t="shared" ref="EH58:EH64" si="272">IF(EK58=0,0,EM58/EK58*1000)</f>
        <v>0</v>
      </c>
      <c r="EI58" s="365"/>
      <c r="EJ58" s="365"/>
      <c r="EK58" s="123">
        <f t="shared" ref="EK58:EK64" si="273">EI58*EJ58</f>
        <v>0</v>
      </c>
      <c r="EL58" s="123">
        <f t="shared" ref="EL58:EL64" si="274">EC58*EI58/1000+ET58+EY58+FD58</f>
        <v>0</v>
      </c>
      <c r="EM58" s="116">
        <f t="shared" ref="EM58:EM64" si="275">IF($FK58="да",EL58*1.18,EL58)</f>
        <v>0</v>
      </c>
      <c r="EN58" s="115"/>
      <c r="EO58" s="115"/>
      <c r="EP58" s="115"/>
      <c r="EQ58" s="365"/>
      <c r="ER58" s="116">
        <f t="shared" ref="ER58:ER64" si="276">IF($FK58="да",EQ58*1.18,EQ58)</f>
        <v>0</v>
      </c>
      <c r="ES58" s="365"/>
      <c r="ET58" s="123">
        <f t="shared" ref="ET58:ET64" si="277">EQ58*ES58/1000</f>
        <v>0</v>
      </c>
      <c r="EU58" s="116">
        <f t="shared" ref="EU58:EU64" si="278">IF($FK58="да",ET58*1.18,ET58)</f>
        <v>0</v>
      </c>
      <c r="EV58" s="218"/>
      <c r="EW58" s="116">
        <f t="shared" ref="EW58:EW64" si="279">IF($FK58="да",EV58*1.18,EV58)</f>
        <v>0</v>
      </c>
      <c r="EX58" s="218"/>
      <c r="EY58" s="116">
        <f t="shared" ref="EY58:EY64" si="280">EV58*EX58/1000</f>
        <v>0</v>
      </c>
      <c r="EZ58" s="116">
        <f t="shared" ref="EZ58:EZ64" si="281">IF($FK58="да",EY58*1.18,EY58)</f>
        <v>0</v>
      </c>
      <c r="FA58" s="218"/>
      <c r="FB58" s="116">
        <f t="shared" ref="FB58:FB64" si="282">IF($FK58="да",FA58*1.18,FA58)</f>
        <v>0</v>
      </c>
      <c r="FC58" s="218"/>
      <c r="FD58" s="116">
        <f t="shared" ref="FD58:FD64" si="283">FA58*FC58/1000</f>
        <v>0</v>
      </c>
      <c r="FE58" s="116">
        <f t="shared" ref="FE58:FE64" si="284">IF($FK58="да",FD58*1.18,FD58)</f>
        <v>0</v>
      </c>
      <c r="FF58" s="115"/>
      <c r="FG58" s="115"/>
      <c r="FH58" s="115"/>
      <c r="FI58" s="115"/>
      <c r="FJ58" s="115"/>
      <c r="FK58" s="110" t="str">
        <f>$T46</f>
        <v>нет</v>
      </c>
      <c r="FL58" s="118" t="str">
        <f>IF($G46="","ACTI","DELD")</f>
        <v>ACTI</v>
      </c>
      <c r="FM58" s="119" t="str">
        <f>$I46 &amp; "." &amp; $AA58 &amp; ".1"</f>
        <v>1.9.1</v>
      </c>
      <c r="FN58" s="427"/>
      <c r="FO58" s="201"/>
      <c r="FP58" s="360"/>
      <c r="FQ58" s="360"/>
      <c r="FR58" s="360"/>
      <c r="FS58" s="204">
        <f t="shared" si="164"/>
        <v>0</v>
      </c>
      <c r="FT58" s="9"/>
      <c r="FU58" s="9"/>
      <c r="FV58" s="9"/>
      <c r="FW58" s="9"/>
      <c r="FX58" s="205"/>
      <c r="FY58" s="9"/>
      <c r="FZ58" s="206"/>
      <c r="GA58" s="46"/>
      <c r="GD58" s="192" t="str">
        <f>M46</f>
        <v>2633001132</v>
      </c>
      <c r="GE58" s="192" t="str">
        <f>N46</f>
        <v>263601001</v>
      </c>
      <c r="GF58" s="193" t="str">
        <f>MID(Q46,1,50) &amp; LEN(Q46)</f>
        <v>0</v>
      </c>
      <c r="GG58" s="192" t="str">
        <f>IF(S46="производство комбинированная выработка","COGENERATION","HEATING")</f>
        <v>HEATING</v>
      </c>
      <c r="GH58" s="194" t="str">
        <f t="shared" si="165"/>
        <v>Дрова :: ACTI</v>
      </c>
      <c r="GI58" s="194" t="str">
        <f t="shared" si="166"/>
        <v>2633001132::263601001::0::HEATING::Дрова :: ACTI</v>
      </c>
      <c r="GJ58" s="10"/>
      <c r="GK58" s="10"/>
      <c r="GL58" s="10"/>
      <c r="GM58" s="10"/>
    </row>
    <row r="59" spans="6:195" s="75" customFormat="1" ht="12" hidden="1" customHeight="1">
      <c r="F59" s="200"/>
      <c r="G59" s="406"/>
      <c r="H59" s="411"/>
      <c r="I59" s="412"/>
      <c r="J59" s="417"/>
      <c r="K59" s="417"/>
      <c r="L59" s="419"/>
      <c r="M59" s="418"/>
      <c r="N59" s="418"/>
      <c r="O59" s="418"/>
      <c r="P59" s="415"/>
      <c r="Q59" s="416"/>
      <c r="R59" s="426"/>
      <c r="S59" s="410"/>
      <c r="T59" s="432"/>
      <c r="U59" s="412"/>
      <c r="V59"/>
      <c r="W59"/>
      <c r="X59"/>
      <c r="Y59" s="425"/>
      <c r="Z59" s="112"/>
      <c r="AA59" s="110" t="s">
        <v>1709</v>
      </c>
      <c r="AB59" s="113" t="s">
        <v>26</v>
      </c>
      <c r="AC59" s="121" t="str">
        <f t="shared" si="216"/>
        <v>Пеллеты</v>
      </c>
      <c r="AD59" s="191" t="str">
        <f t="shared" si="143"/>
        <v>Пеллеты :: ACTI</v>
      </c>
      <c r="AE59" s="122"/>
      <c r="AF59" s="116">
        <f t="shared" si="217"/>
        <v>0</v>
      </c>
      <c r="AG59" s="185">
        <f t="shared" si="218"/>
        <v>0</v>
      </c>
      <c r="AH59" s="185">
        <f t="shared" si="219"/>
        <v>0</v>
      </c>
      <c r="AI59" s="185">
        <f t="shared" si="220"/>
        <v>0</v>
      </c>
      <c r="AJ59" s="185">
        <f t="shared" si="221"/>
        <v>0</v>
      </c>
      <c r="AK59" s="122"/>
      <c r="AL59" s="122"/>
      <c r="AM59" s="123">
        <f t="shared" si="222"/>
        <v>0</v>
      </c>
      <c r="AN59" s="123">
        <f t="shared" si="223"/>
        <v>0</v>
      </c>
      <c r="AO59" s="116">
        <f t="shared" si="224"/>
        <v>0</v>
      </c>
      <c r="AP59" s="115"/>
      <c r="AQ59" s="115"/>
      <c r="AR59" s="115"/>
      <c r="AS59" s="122"/>
      <c r="AT59" s="116">
        <f t="shared" si="225"/>
        <v>0</v>
      </c>
      <c r="AU59" s="122"/>
      <c r="AV59" s="123">
        <f t="shared" si="226"/>
        <v>0</v>
      </c>
      <c r="AW59" s="116">
        <f t="shared" si="227"/>
        <v>0</v>
      </c>
      <c r="AX59" s="117"/>
      <c r="AY59" s="116">
        <f t="shared" si="228"/>
        <v>0</v>
      </c>
      <c r="AZ59" s="117"/>
      <c r="BA59" s="116">
        <f t="shared" si="229"/>
        <v>0</v>
      </c>
      <c r="BB59" s="116">
        <f t="shared" si="230"/>
        <v>0</v>
      </c>
      <c r="BC59" s="117"/>
      <c r="BD59" s="116">
        <f t="shared" si="231"/>
        <v>0</v>
      </c>
      <c r="BE59" s="117"/>
      <c r="BF59" s="116">
        <f t="shared" si="232"/>
        <v>0</v>
      </c>
      <c r="BG59" s="116">
        <f t="shared" si="233"/>
        <v>0</v>
      </c>
      <c r="BH59" s="115"/>
      <c r="BI59" s="115"/>
      <c r="BJ59" s="115"/>
      <c r="BK59" s="115"/>
      <c r="BL59" s="115"/>
      <c r="BM59" s="365"/>
      <c r="BN59" s="116">
        <f t="shared" si="234"/>
        <v>0</v>
      </c>
      <c r="BO59" s="185">
        <f t="shared" si="235"/>
        <v>0</v>
      </c>
      <c r="BP59" s="185">
        <f t="shared" si="236"/>
        <v>0</v>
      </c>
      <c r="BQ59" s="185">
        <f t="shared" si="237"/>
        <v>0</v>
      </c>
      <c r="BR59" s="185">
        <f t="shared" si="238"/>
        <v>0</v>
      </c>
      <c r="BS59" s="365"/>
      <c r="BT59" s="365"/>
      <c r="BU59" s="123">
        <f t="shared" si="239"/>
        <v>0</v>
      </c>
      <c r="BV59" s="123">
        <f t="shared" si="240"/>
        <v>0</v>
      </c>
      <c r="BW59" s="116">
        <f t="shared" si="241"/>
        <v>0</v>
      </c>
      <c r="BX59" s="115"/>
      <c r="BY59" s="115"/>
      <c r="BZ59" s="115"/>
      <c r="CA59" s="365"/>
      <c r="CB59" s="116">
        <f t="shared" si="242"/>
        <v>0</v>
      </c>
      <c r="CC59" s="365"/>
      <c r="CD59" s="123">
        <f t="shared" si="243"/>
        <v>0</v>
      </c>
      <c r="CE59" s="116">
        <f t="shared" si="244"/>
        <v>0</v>
      </c>
      <c r="CF59" s="218"/>
      <c r="CG59" s="116">
        <f t="shared" si="245"/>
        <v>0</v>
      </c>
      <c r="CH59" s="218"/>
      <c r="CI59" s="116">
        <f t="shared" si="246"/>
        <v>0</v>
      </c>
      <c r="CJ59" s="116">
        <f t="shared" si="247"/>
        <v>0</v>
      </c>
      <c r="CK59" s="218"/>
      <c r="CL59" s="116">
        <f t="shared" si="248"/>
        <v>0</v>
      </c>
      <c r="CM59" s="218"/>
      <c r="CN59" s="116">
        <f t="shared" si="249"/>
        <v>0</v>
      </c>
      <c r="CO59" s="116">
        <f t="shared" si="250"/>
        <v>0</v>
      </c>
      <c r="CP59" s="115"/>
      <c r="CQ59" s="115"/>
      <c r="CR59" s="115"/>
      <c r="CS59" s="115"/>
      <c r="CT59" s="115"/>
      <c r="CU59" s="365"/>
      <c r="CV59" s="116">
        <f t="shared" si="251"/>
        <v>0</v>
      </c>
      <c r="CW59" s="185">
        <f t="shared" si="252"/>
        <v>0</v>
      </c>
      <c r="CX59" s="185">
        <f t="shared" si="253"/>
        <v>0</v>
      </c>
      <c r="CY59" s="185">
        <f t="shared" si="254"/>
        <v>0</v>
      </c>
      <c r="CZ59" s="185">
        <f t="shared" si="255"/>
        <v>0</v>
      </c>
      <c r="DA59" s="365"/>
      <c r="DB59" s="365"/>
      <c r="DC59" s="123">
        <f t="shared" si="256"/>
        <v>0</v>
      </c>
      <c r="DD59" s="123">
        <f t="shared" si="257"/>
        <v>0</v>
      </c>
      <c r="DE59" s="116">
        <f t="shared" si="258"/>
        <v>0</v>
      </c>
      <c r="DF59" s="115"/>
      <c r="DG59" s="115"/>
      <c r="DH59" s="115"/>
      <c r="DI59" s="365"/>
      <c r="DJ59" s="116">
        <f t="shared" si="259"/>
        <v>0</v>
      </c>
      <c r="DK59" s="365"/>
      <c r="DL59" s="123">
        <f t="shared" si="260"/>
        <v>0</v>
      </c>
      <c r="DM59" s="116">
        <f t="shared" si="261"/>
        <v>0</v>
      </c>
      <c r="DN59" s="218"/>
      <c r="DO59" s="116">
        <f t="shared" si="262"/>
        <v>0</v>
      </c>
      <c r="DP59" s="218"/>
      <c r="DQ59" s="116">
        <f t="shared" si="263"/>
        <v>0</v>
      </c>
      <c r="DR59" s="116">
        <f t="shared" si="264"/>
        <v>0</v>
      </c>
      <c r="DS59" s="218"/>
      <c r="DT59" s="116">
        <f t="shared" si="265"/>
        <v>0</v>
      </c>
      <c r="DU59" s="218"/>
      <c r="DV59" s="116">
        <f t="shared" si="266"/>
        <v>0</v>
      </c>
      <c r="DW59" s="116">
        <f t="shared" si="267"/>
        <v>0</v>
      </c>
      <c r="DX59" s="115"/>
      <c r="DY59" s="115"/>
      <c r="DZ59" s="115"/>
      <c r="EA59" s="115"/>
      <c r="EB59" s="115"/>
      <c r="EC59" s="365"/>
      <c r="ED59" s="116">
        <f t="shared" si="268"/>
        <v>0</v>
      </c>
      <c r="EE59" s="185">
        <f t="shared" si="269"/>
        <v>0</v>
      </c>
      <c r="EF59" s="185">
        <f t="shared" si="270"/>
        <v>0</v>
      </c>
      <c r="EG59" s="185">
        <f t="shared" si="271"/>
        <v>0</v>
      </c>
      <c r="EH59" s="185">
        <f t="shared" si="272"/>
        <v>0</v>
      </c>
      <c r="EI59" s="365"/>
      <c r="EJ59" s="365"/>
      <c r="EK59" s="123">
        <f t="shared" si="273"/>
        <v>0</v>
      </c>
      <c r="EL59" s="123">
        <f t="shared" si="274"/>
        <v>0</v>
      </c>
      <c r="EM59" s="116">
        <f t="shared" si="275"/>
        <v>0</v>
      </c>
      <c r="EN59" s="115"/>
      <c r="EO59" s="115"/>
      <c r="EP59" s="115"/>
      <c r="EQ59" s="365"/>
      <c r="ER59" s="116">
        <f t="shared" si="276"/>
        <v>0</v>
      </c>
      <c r="ES59" s="365"/>
      <c r="ET59" s="123">
        <f t="shared" si="277"/>
        <v>0</v>
      </c>
      <c r="EU59" s="116">
        <f t="shared" si="278"/>
        <v>0</v>
      </c>
      <c r="EV59" s="218"/>
      <c r="EW59" s="116">
        <f t="shared" si="279"/>
        <v>0</v>
      </c>
      <c r="EX59" s="218"/>
      <c r="EY59" s="116">
        <f t="shared" si="280"/>
        <v>0</v>
      </c>
      <c r="EZ59" s="116">
        <f t="shared" si="281"/>
        <v>0</v>
      </c>
      <c r="FA59" s="218"/>
      <c r="FB59" s="116">
        <f t="shared" si="282"/>
        <v>0</v>
      </c>
      <c r="FC59" s="218"/>
      <c r="FD59" s="116">
        <f t="shared" si="283"/>
        <v>0</v>
      </c>
      <c r="FE59" s="116">
        <f t="shared" si="284"/>
        <v>0</v>
      </c>
      <c r="FF59" s="115"/>
      <c r="FG59" s="115"/>
      <c r="FH59" s="115"/>
      <c r="FI59" s="115"/>
      <c r="FJ59" s="115"/>
      <c r="FK59" s="110" t="str">
        <f>$T46</f>
        <v>нет</v>
      </c>
      <c r="FL59" s="118" t="str">
        <f>IF($G46="","ACTI","DELD")</f>
        <v>ACTI</v>
      </c>
      <c r="FM59" s="119" t="str">
        <f>$I46 &amp; "." &amp; $AA59 &amp; ".1"</f>
        <v>1.10.1</v>
      </c>
      <c r="FN59" s="427"/>
      <c r="FO59" s="201"/>
      <c r="FP59" s="360"/>
      <c r="FQ59" s="360"/>
      <c r="FR59" s="360"/>
      <c r="FS59" s="204">
        <f t="shared" si="164"/>
        <v>0</v>
      </c>
      <c r="FT59" s="9"/>
      <c r="FU59" s="9"/>
      <c r="FV59" s="9"/>
      <c r="FW59" s="9"/>
      <c r="FX59" s="205"/>
      <c r="FY59" s="9"/>
      <c r="FZ59" s="206"/>
      <c r="GA59" s="46"/>
      <c r="GD59" s="192" t="str">
        <f>M46</f>
        <v>2633001132</v>
      </c>
      <c r="GE59" s="192" t="str">
        <f>N46</f>
        <v>263601001</v>
      </c>
      <c r="GF59" s="193" t="str">
        <f>MID(Q46,1,50) &amp; LEN(Q46)</f>
        <v>0</v>
      </c>
      <c r="GG59" s="192" t="str">
        <f>IF(S46="производство комбинированная выработка","COGENERATION","HEATING")</f>
        <v>HEATING</v>
      </c>
      <c r="GH59" s="194" t="str">
        <f t="shared" si="165"/>
        <v>Пеллеты :: ACTI</v>
      </c>
      <c r="GI59" s="194" t="str">
        <f t="shared" si="166"/>
        <v>2633001132::263601001::0::HEATING::Пеллеты :: ACTI</v>
      </c>
      <c r="GJ59" s="10"/>
      <c r="GK59" s="10"/>
      <c r="GL59" s="10"/>
      <c r="GM59" s="10"/>
    </row>
    <row r="60" spans="6:195" s="75" customFormat="1" ht="12" hidden="1" customHeight="1">
      <c r="F60" s="200"/>
      <c r="G60" s="406"/>
      <c r="H60" s="411"/>
      <c r="I60" s="412"/>
      <c r="J60" s="417"/>
      <c r="K60" s="417"/>
      <c r="L60" s="419"/>
      <c r="M60" s="418"/>
      <c r="N60" s="418"/>
      <c r="O60" s="418"/>
      <c r="P60" s="415"/>
      <c r="Q60" s="416"/>
      <c r="R60" s="426"/>
      <c r="S60" s="410"/>
      <c r="T60" s="432"/>
      <c r="U60" s="412"/>
      <c r="V60"/>
      <c r="W60"/>
      <c r="X60"/>
      <c r="Y60" s="425"/>
      <c r="Z60" s="112"/>
      <c r="AA60" s="111" t="s">
        <v>1725</v>
      </c>
      <c r="AB60" s="113" t="s">
        <v>1745</v>
      </c>
      <c r="AC60" s="121" t="str">
        <f t="shared" si="216"/>
        <v>Опилки</v>
      </c>
      <c r="AD60" s="191" t="str">
        <f t="shared" si="143"/>
        <v>Опилки :: ACTI</v>
      </c>
      <c r="AE60" s="122"/>
      <c r="AF60" s="116">
        <f t="shared" si="217"/>
        <v>0</v>
      </c>
      <c r="AG60" s="185">
        <f t="shared" si="218"/>
        <v>0</v>
      </c>
      <c r="AH60" s="185">
        <f t="shared" si="219"/>
        <v>0</v>
      </c>
      <c r="AI60" s="185">
        <f t="shared" si="220"/>
        <v>0</v>
      </c>
      <c r="AJ60" s="185">
        <f t="shared" si="221"/>
        <v>0</v>
      </c>
      <c r="AK60" s="122"/>
      <c r="AL60" s="122"/>
      <c r="AM60" s="123">
        <f t="shared" si="222"/>
        <v>0</v>
      </c>
      <c r="AN60" s="123">
        <f t="shared" si="223"/>
        <v>0</v>
      </c>
      <c r="AO60" s="116">
        <f t="shared" si="224"/>
        <v>0</v>
      </c>
      <c r="AP60" s="115"/>
      <c r="AQ60" s="115"/>
      <c r="AR60" s="115"/>
      <c r="AS60" s="122"/>
      <c r="AT60" s="116">
        <f t="shared" si="225"/>
        <v>0</v>
      </c>
      <c r="AU60" s="122"/>
      <c r="AV60" s="123">
        <f t="shared" si="226"/>
        <v>0</v>
      </c>
      <c r="AW60" s="116">
        <f t="shared" si="227"/>
        <v>0</v>
      </c>
      <c r="AX60" s="117"/>
      <c r="AY60" s="116">
        <f t="shared" si="228"/>
        <v>0</v>
      </c>
      <c r="AZ60" s="117"/>
      <c r="BA60" s="116">
        <f t="shared" si="229"/>
        <v>0</v>
      </c>
      <c r="BB60" s="116">
        <f t="shared" si="230"/>
        <v>0</v>
      </c>
      <c r="BC60" s="117"/>
      <c r="BD60" s="116">
        <f t="shared" si="231"/>
        <v>0</v>
      </c>
      <c r="BE60" s="117"/>
      <c r="BF60" s="116">
        <f t="shared" si="232"/>
        <v>0</v>
      </c>
      <c r="BG60" s="116">
        <f t="shared" si="233"/>
        <v>0</v>
      </c>
      <c r="BH60" s="115"/>
      <c r="BI60" s="115"/>
      <c r="BJ60" s="115"/>
      <c r="BK60" s="115"/>
      <c r="BL60" s="115"/>
      <c r="BM60" s="365"/>
      <c r="BN60" s="116">
        <f t="shared" si="234"/>
        <v>0</v>
      </c>
      <c r="BO60" s="185">
        <f t="shared" si="235"/>
        <v>0</v>
      </c>
      <c r="BP60" s="185">
        <f t="shared" si="236"/>
        <v>0</v>
      </c>
      <c r="BQ60" s="185">
        <f t="shared" si="237"/>
        <v>0</v>
      </c>
      <c r="BR60" s="185">
        <f t="shared" si="238"/>
        <v>0</v>
      </c>
      <c r="BS60" s="365"/>
      <c r="BT60" s="365"/>
      <c r="BU60" s="123">
        <f t="shared" si="239"/>
        <v>0</v>
      </c>
      <c r="BV60" s="123">
        <f t="shared" si="240"/>
        <v>0</v>
      </c>
      <c r="BW60" s="116">
        <f t="shared" si="241"/>
        <v>0</v>
      </c>
      <c r="BX60" s="115"/>
      <c r="BY60" s="115"/>
      <c r="BZ60" s="115"/>
      <c r="CA60" s="365"/>
      <c r="CB60" s="116">
        <f t="shared" si="242"/>
        <v>0</v>
      </c>
      <c r="CC60" s="365"/>
      <c r="CD60" s="123">
        <f t="shared" si="243"/>
        <v>0</v>
      </c>
      <c r="CE60" s="116">
        <f t="shared" si="244"/>
        <v>0</v>
      </c>
      <c r="CF60" s="218"/>
      <c r="CG60" s="116">
        <f t="shared" si="245"/>
        <v>0</v>
      </c>
      <c r="CH60" s="218"/>
      <c r="CI60" s="116">
        <f t="shared" si="246"/>
        <v>0</v>
      </c>
      <c r="CJ60" s="116">
        <f t="shared" si="247"/>
        <v>0</v>
      </c>
      <c r="CK60" s="218"/>
      <c r="CL60" s="116">
        <f t="shared" si="248"/>
        <v>0</v>
      </c>
      <c r="CM60" s="218"/>
      <c r="CN60" s="116">
        <f t="shared" si="249"/>
        <v>0</v>
      </c>
      <c r="CO60" s="116">
        <f t="shared" si="250"/>
        <v>0</v>
      </c>
      <c r="CP60" s="115"/>
      <c r="CQ60" s="115"/>
      <c r="CR60" s="115"/>
      <c r="CS60" s="115"/>
      <c r="CT60" s="115"/>
      <c r="CU60" s="365"/>
      <c r="CV60" s="116">
        <f t="shared" si="251"/>
        <v>0</v>
      </c>
      <c r="CW60" s="185">
        <f t="shared" si="252"/>
        <v>0</v>
      </c>
      <c r="CX60" s="185">
        <f t="shared" si="253"/>
        <v>0</v>
      </c>
      <c r="CY60" s="185">
        <f t="shared" si="254"/>
        <v>0</v>
      </c>
      <c r="CZ60" s="185">
        <f t="shared" si="255"/>
        <v>0</v>
      </c>
      <c r="DA60" s="365"/>
      <c r="DB60" s="365"/>
      <c r="DC60" s="123">
        <f t="shared" si="256"/>
        <v>0</v>
      </c>
      <c r="DD60" s="123">
        <f t="shared" si="257"/>
        <v>0</v>
      </c>
      <c r="DE60" s="116">
        <f t="shared" si="258"/>
        <v>0</v>
      </c>
      <c r="DF60" s="115"/>
      <c r="DG60" s="115"/>
      <c r="DH60" s="115"/>
      <c r="DI60" s="365"/>
      <c r="DJ60" s="116">
        <f t="shared" si="259"/>
        <v>0</v>
      </c>
      <c r="DK60" s="365"/>
      <c r="DL60" s="123">
        <f t="shared" si="260"/>
        <v>0</v>
      </c>
      <c r="DM60" s="116">
        <f t="shared" si="261"/>
        <v>0</v>
      </c>
      <c r="DN60" s="218"/>
      <c r="DO60" s="116">
        <f t="shared" si="262"/>
        <v>0</v>
      </c>
      <c r="DP60" s="218"/>
      <c r="DQ60" s="116">
        <f t="shared" si="263"/>
        <v>0</v>
      </c>
      <c r="DR60" s="116">
        <f t="shared" si="264"/>
        <v>0</v>
      </c>
      <c r="DS60" s="218"/>
      <c r="DT60" s="116">
        <f t="shared" si="265"/>
        <v>0</v>
      </c>
      <c r="DU60" s="218"/>
      <c r="DV60" s="116">
        <f t="shared" si="266"/>
        <v>0</v>
      </c>
      <c r="DW60" s="116">
        <f t="shared" si="267"/>
        <v>0</v>
      </c>
      <c r="DX60" s="115"/>
      <c r="DY60" s="115"/>
      <c r="DZ60" s="115"/>
      <c r="EA60" s="115"/>
      <c r="EB60" s="115"/>
      <c r="EC60" s="365"/>
      <c r="ED60" s="116">
        <f t="shared" si="268"/>
        <v>0</v>
      </c>
      <c r="EE60" s="185">
        <f t="shared" si="269"/>
        <v>0</v>
      </c>
      <c r="EF60" s="185">
        <f t="shared" si="270"/>
        <v>0</v>
      </c>
      <c r="EG60" s="185">
        <f t="shared" si="271"/>
        <v>0</v>
      </c>
      <c r="EH60" s="185">
        <f t="shared" si="272"/>
        <v>0</v>
      </c>
      <c r="EI60" s="365"/>
      <c r="EJ60" s="365"/>
      <c r="EK60" s="123">
        <f t="shared" si="273"/>
        <v>0</v>
      </c>
      <c r="EL60" s="123">
        <f t="shared" si="274"/>
        <v>0</v>
      </c>
      <c r="EM60" s="116">
        <f t="shared" si="275"/>
        <v>0</v>
      </c>
      <c r="EN60" s="115"/>
      <c r="EO60" s="115"/>
      <c r="EP60" s="115"/>
      <c r="EQ60" s="365"/>
      <c r="ER60" s="116">
        <f t="shared" si="276"/>
        <v>0</v>
      </c>
      <c r="ES60" s="365"/>
      <c r="ET60" s="123">
        <f t="shared" si="277"/>
        <v>0</v>
      </c>
      <c r="EU60" s="116">
        <f t="shared" si="278"/>
        <v>0</v>
      </c>
      <c r="EV60" s="218"/>
      <c r="EW60" s="116">
        <f t="shared" si="279"/>
        <v>0</v>
      </c>
      <c r="EX60" s="218"/>
      <c r="EY60" s="116">
        <f t="shared" si="280"/>
        <v>0</v>
      </c>
      <c r="EZ60" s="116">
        <f t="shared" si="281"/>
        <v>0</v>
      </c>
      <c r="FA60" s="218"/>
      <c r="FB60" s="116">
        <f t="shared" si="282"/>
        <v>0</v>
      </c>
      <c r="FC60" s="218"/>
      <c r="FD60" s="116">
        <f t="shared" si="283"/>
        <v>0</v>
      </c>
      <c r="FE60" s="116">
        <f t="shared" si="284"/>
        <v>0</v>
      </c>
      <c r="FF60" s="115"/>
      <c r="FG60" s="115"/>
      <c r="FH60" s="115"/>
      <c r="FI60" s="115"/>
      <c r="FJ60" s="115"/>
      <c r="FK60" s="110" t="str">
        <f>$T46</f>
        <v>нет</v>
      </c>
      <c r="FL60" s="118" t="str">
        <f>IF($G46="","ACTI","DELD")</f>
        <v>ACTI</v>
      </c>
      <c r="FM60" s="119" t="str">
        <f>$I46 &amp; "." &amp; $AA60 &amp; ".1"</f>
        <v>1.11.1</v>
      </c>
      <c r="FN60" s="427"/>
      <c r="FO60" s="201"/>
      <c r="FP60" s="360"/>
      <c r="FQ60" s="360"/>
      <c r="FR60" s="360"/>
      <c r="FS60" s="204">
        <f t="shared" si="164"/>
        <v>0</v>
      </c>
      <c r="FT60" s="9"/>
      <c r="FU60" s="9"/>
      <c r="FV60" s="9"/>
      <c r="FW60" s="9"/>
      <c r="FX60" s="205"/>
      <c r="FY60" s="9"/>
      <c r="FZ60" s="206"/>
      <c r="GA60" s="46"/>
      <c r="GD60" s="192" t="str">
        <f>M46</f>
        <v>2633001132</v>
      </c>
      <c r="GE60" s="192" t="str">
        <f>N46</f>
        <v>263601001</v>
      </c>
      <c r="GF60" s="193" t="str">
        <f>MID(Q46,1,50) &amp; LEN(Q46)</f>
        <v>0</v>
      </c>
      <c r="GG60" s="192" t="str">
        <f>IF(S46="производство комбинированная выработка","COGENERATION","HEATING")</f>
        <v>HEATING</v>
      </c>
      <c r="GH60" s="194" t="str">
        <f t="shared" si="165"/>
        <v>Опилки :: ACTI</v>
      </c>
      <c r="GI60" s="194" t="str">
        <f t="shared" si="166"/>
        <v>2633001132::263601001::0::HEATING::Опилки :: ACTI</v>
      </c>
      <c r="GJ60" s="10"/>
      <c r="GK60" s="10"/>
      <c r="GL60" s="10"/>
      <c r="GM60" s="10"/>
    </row>
    <row r="61" spans="6:195" s="75" customFormat="1" ht="12" hidden="1" customHeight="1">
      <c r="F61" s="200"/>
      <c r="G61" s="406"/>
      <c r="H61" s="411"/>
      <c r="I61" s="412"/>
      <c r="J61" s="417"/>
      <c r="K61" s="417"/>
      <c r="L61" s="419"/>
      <c r="M61" s="418"/>
      <c r="N61" s="418"/>
      <c r="O61" s="418"/>
      <c r="P61" s="415"/>
      <c r="Q61" s="416"/>
      <c r="R61" s="426"/>
      <c r="S61" s="410"/>
      <c r="T61" s="432"/>
      <c r="U61" s="412"/>
      <c r="V61"/>
      <c r="W61"/>
      <c r="X61"/>
      <c r="Y61" s="425"/>
      <c r="Z61" s="112"/>
      <c r="AA61" s="110" t="s">
        <v>1726</v>
      </c>
      <c r="AB61" s="113" t="s">
        <v>1735</v>
      </c>
      <c r="AC61" s="121" t="str">
        <f t="shared" si="216"/>
        <v>Торф</v>
      </c>
      <c r="AD61" s="191" t="str">
        <f t="shared" si="143"/>
        <v>Торф :: ACTI</v>
      </c>
      <c r="AE61" s="122"/>
      <c r="AF61" s="116">
        <f t="shared" si="217"/>
        <v>0</v>
      </c>
      <c r="AG61" s="185">
        <f t="shared" si="218"/>
        <v>0</v>
      </c>
      <c r="AH61" s="185">
        <f t="shared" si="219"/>
        <v>0</v>
      </c>
      <c r="AI61" s="185">
        <f t="shared" si="220"/>
        <v>0</v>
      </c>
      <c r="AJ61" s="185">
        <f t="shared" si="221"/>
        <v>0</v>
      </c>
      <c r="AK61" s="122"/>
      <c r="AL61" s="122"/>
      <c r="AM61" s="123">
        <f t="shared" si="222"/>
        <v>0</v>
      </c>
      <c r="AN61" s="123">
        <f t="shared" si="223"/>
        <v>0</v>
      </c>
      <c r="AO61" s="116">
        <f t="shared" si="224"/>
        <v>0</v>
      </c>
      <c r="AP61" s="115"/>
      <c r="AQ61" s="115"/>
      <c r="AR61" s="115"/>
      <c r="AS61" s="122"/>
      <c r="AT61" s="116">
        <f t="shared" si="225"/>
        <v>0</v>
      </c>
      <c r="AU61" s="122"/>
      <c r="AV61" s="123">
        <f t="shared" si="226"/>
        <v>0</v>
      </c>
      <c r="AW61" s="116">
        <f t="shared" si="227"/>
        <v>0</v>
      </c>
      <c r="AX61" s="117"/>
      <c r="AY61" s="116">
        <f t="shared" si="228"/>
        <v>0</v>
      </c>
      <c r="AZ61" s="117"/>
      <c r="BA61" s="116">
        <f t="shared" si="229"/>
        <v>0</v>
      </c>
      <c r="BB61" s="116">
        <f t="shared" si="230"/>
        <v>0</v>
      </c>
      <c r="BC61" s="117"/>
      <c r="BD61" s="116">
        <f t="shared" si="231"/>
        <v>0</v>
      </c>
      <c r="BE61" s="117"/>
      <c r="BF61" s="116">
        <f t="shared" si="232"/>
        <v>0</v>
      </c>
      <c r="BG61" s="116">
        <f t="shared" si="233"/>
        <v>0</v>
      </c>
      <c r="BH61" s="115"/>
      <c r="BI61" s="115"/>
      <c r="BJ61" s="115"/>
      <c r="BK61" s="115"/>
      <c r="BL61" s="115"/>
      <c r="BM61" s="365"/>
      <c r="BN61" s="116">
        <f t="shared" si="234"/>
        <v>0</v>
      </c>
      <c r="BO61" s="185">
        <f t="shared" si="235"/>
        <v>0</v>
      </c>
      <c r="BP61" s="185">
        <f t="shared" si="236"/>
        <v>0</v>
      </c>
      <c r="BQ61" s="185">
        <f t="shared" si="237"/>
        <v>0</v>
      </c>
      <c r="BR61" s="185">
        <f t="shared" si="238"/>
        <v>0</v>
      </c>
      <c r="BS61" s="365"/>
      <c r="BT61" s="365"/>
      <c r="BU61" s="123">
        <f t="shared" si="239"/>
        <v>0</v>
      </c>
      <c r="BV61" s="123">
        <f t="shared" si="240"/>
        <v>0</v>
      </c>
      <c r="BW61" s="116">
        <f t="shared" si="241"/>
        <v>0</v>
      </c>
      <c r="BX61" s="115"/>
      <c r="BY61" s="115"/>
      <c r="BZ61" s="115"/>
      <c r="CA61" s="365"/>
      <c r="CB61" s="116">
        <f t="shared" si="242"/>
        <v>0</v>
      </c>
      <c r="CC61" s="365"/>
      <c r="CD61" s="123">
        <f t="shared" si="243"/>
        <v>0</v>
      </c>
      <c r="CE61" s="116">
        <f t="shared" si="244"/>
        <v>0</v>
      </c>
      <c r="CF61" s="218"/>
      <c r="CG61" s="116">
        <f t="shared" si="245"/>
        <v>0</v>
      </c>
      <c r="CH61" s="218"/>
      <c r="CI61" s="116">
        <f t="shared" si="246"/>
        <v>0</v>
      </c>
      <c r="CJ61" s="116">
        <f t="shared" si="247"/>
        <v>0</v>
      </c>
      <c r="CK61" s="218"/>
      <c r="CL61" s="116">
        <f t="shared" si="248"/>
        <v>0</v>
      </c>
      <c r="CM61" s="218"/>
      <c r="CN61" s="116">
        <f t="shared" si="249"/>
        <v>0</v>
      </c>
      <c r="CO61" s="116">
        <f t="shared" si="250"/>
        <v>0</v>
      </c>
      <c r="CP61" s="115"/>
      <c r="CQ61" s="115"/>
      <c r="CR61" s="115"/>
      <c r="CS61" s="115"/>
      <c r="CT61" s="115"/>
      <c r="CU61" s="365"/>
      <c r="CV61" s="116">
        <f t="shared" si="251"/>
        <v>0</v>
      </c>
      <c r="CW61" s="185">
        <f t="shared" si="252"/>
        <v>0</v>
      </c>
      <c r="CX61" s="185">
        <f t="shared" si="253"/>
        <v>0</v>
      </c>
      <c r="CY61" s="185">
        <f t="shared" si="254"/>
        <v>0</v>
      </c>
      <c r="CZ61" s="185">
        <f t="shared" si="255"/>
        <v>0</v>
      </c>
      <c r="DA61" s="365"/>
      <c r="DB61" s="365"/>
      <c r="DC61" s="123">
        <f t="shared" si="256"/>
        <v>0</v>
      </c>
      <c r="DD61" s="123">
        <f t="shared" si="257"/>
        <v>0</v>
      </c>
      <c r="DE61" s="116">
        <f t="shared" si="258"/>
        <v>0</v>
      </c>
      <c r="DF61" s="115"/>
      <c r="DG61" s="115"/>
      <c r="DH61" s="115"/>
      <c r="DI61" s="365"/>
      <c r="DJ61" s="116">
        <f t="shared" si="259"/>
        <v>0</v>
      </c>
      <c r="DK61" s="365"/>
      <c r="DL61" s="123">
        <f t="shared" si="260"/>
        <v>0</v>
      </c>
      <c r="DM61" s="116">
        <f t="shared" si="261"/>
        <v>0</v>
      </c>
      <c r="DN61" s="218"/>
      <c r="DO61" s="116">
        <f t="shared" si="262"/>
        <v>0</v>
      </c>
      <c r="DP61" s="218"/>
      <c r="DQ61" s="116">
        <f t="shared" si="263"/>
        <v>0</v>
      </c>
      <c r="DR61" s="116">
        <f t="shared" si="264"/>
        <v>0</v>
      </c>
      <c r="DS61" s="218"/>
      <c r="DT61" s="116">
        <f t="shared" si="265"/>
        <v>0</v>
      </c>
      <c r="DU61" s="218"/>
      <c r="DV61" s="116">
        <f t="shared" si="266"/>
        <v>0</v>
      </c>
      <c r="DW61" s="116">
        <f t="shared" si="267"/>
        <v>0</v>
      </c>
      <c r="DX61" s="115"/>
      <c r="DY61" s="115"/>
      <c r="DZ61" s="115"/>
      <c r="EA61" s="115"/>
      <c r="EB61" s="115"/>
      <c r="EC61" s="365"/>
      <c r="ED61" s="116">
        <f t="shared" si="268"/>
        <v>0</v>
      </c>
      <c r="EE61" s="185">
        <f t="shared" si="269"/>
        <v>0</v>
      </c>
      <c r="EF61" s="185">
        <f t="shared" si="270"/>
        <v>0</v>
      </c>
      <c r="EG61" s="185">
        <f t="shared" si="271"/>
        <v>0</v>
      </c>
      <c r="EH61" s="185">
        <f t="shared" si="272"/>
        <v>0</v>
      </c>
      <c r="EI61" s="365"/>
      <c r="EJ61" s="365"/>
      <c r="EK61" s="123">
        <f t="shared" si="273"/>
        <v>0</v>
      </c>
      <c r="EL61" s="123">
        <f t="shared" si="274"/>
        <v>0</v>
      </c>
      <c r="EM61" s="116">
        <f t="shared" si="275"/>
        <v>0</v>
      </c>
      <c r="EN61" s="115"/>
      <c r="EO61" s="115"/>
      <c r="EP61" s="115"/>
      <c r="EQ61" s="365"/>
      <c r="ER61" s="116">
        <f t="shared" si="276"/>
        <v>0</v>
      </c>
      <c r="ES61" s="365"/>
      <c r="ET61" s="123">
        <f t="shared" si="277"/>
        <v>0</v>
      </c>
      <c r="EU61" s="116">
        <f t="shared" si="278"/>
        <v>0</v>
      </c>
      <c r="EV61" s="218"/>
      <c r="EW61" s="116">
        <f t="shared" si="279"/>
        <v>0</v>
      </c>
      <c r="EX61" s="218"/>
      <c r="EY61" s="116">
        <f t="shared" si="280"/>
        <v>0</v>
      </c>
      <c r="EZ61" s="116">
        <f t="shared" si="281"/>
        <v>0</v>
      </c>
      <c r="FA61" s="218"/>
      <c r="FB61" s="116">
        <f t="shared" si="282"/>
        <v>0</v>
      </c>
      <c r="FC61" s="218"/>
      <c r="FD61" s="116">
        <f t="shared" si="283"/>
        <v>0</v>
      </c>
      <c r="FE61" s="116">
        <f t="shared" si="284"/>
        <v>0</v>
      </c>
      <c r="FF61" s="115"/>
      <c r="FG61" s="115"/>
      <c r="FH61" s="115"/>
      <c r="FI61" s="115"/>
      <c r="FJ61" s="115"/>
      <c r="FK61" s="110" t="str">
        <f>$T46</f>
        <v>нет</v>
      </c>
      <c r="FL61" s="118" t="str">
        <f>IF($G46="","ACTI","DELD")</f>
        <v>ACTI</v>
      </c>
      <c r="FM61" s="119" t="str">
        <f>$I46 &amp; "." &amp; $AA61 &amp; ".1"</f>
        <v>1.12.1</v>
      </c>
      <c r="FN61" s="427"/>
      <c r="FO61" s="201"/>
      <c r="FP61" s="360"/>
      <c r="FQ61" s="360"/>
      <c r="FR61" s="360"/>
      <c r="FS61" s="204">
        <f t="shared" si="164"/>
        <v>0</v>
      </c>
      <c r="FT61" s="9"/>
      <c r="FU61" s="9"/>
      <c r="FV61" s="9"/>
      <c r="FW61" s="9"/>
      <c r="FX61" s="205"/>
      <c r="FY61" s="9"/>
      <c r="FZ61" s="206"/>
      <c r="GA61" s="46"/>
      <c r="GD61" s="192" t="str">
        <f>M46</f>
        <v>2633001132</v>
      </c>
      <c r="GE61" s="192" t="str">
        <f>N46</f>
        <v>263601001</v>
      </c>
      <c r="GF61" s="193" t="str">
        <f>MID(Q46,1,50) &amp; LEN(Q46)</f>
        <v>0</v>
      </c>
      <c r="GG61" s="192" t="str">
        <f>IF(S46="производство комбинированная выработка","COGENERATION","HEATING")</f>
        <v>HEATING</v>
      </c>
      <c r="GH61" s="194" t="str">
        <f t="shared" si="165"/>
        <v>Торф :: ACTI</v>
      </c>
      <c r="GI61" s="194" t="str">
        <f t="shared" si="166"/>
        <v>2633001132::263601001::0::HEATING::Торф :: ACTI</v>
      </c>
      <c r="GJ61" s="10"/>
      <c r="GK61" s="10"/>
      <c r="GL61" s="10"/>
      <c r="GM61" s="10"/>
    </row>
    <row r="62" spans="6:195" s="75" customFormat="1" ht="12" hidden="1" customHeight="1">
      <c r="F62" s="200"/>
      <c r="G62" s="406"/>
      <c r="H62" s="411"/>
      <c r="I62" s="412"/>
      <c r="J62" s="417"/>
      <c r="K62" s="417"/>
      <c r="L62" s="419"/>
      <c r="M62" s="418"/>
      <c r="N62" s="418"/>
      <c r="O62" s="418"/>
      <c r="P62" s="415"/>
      <c r="Q62" s="416"/>
      <c r="R62" s="426"/>
      <c r="S62" s="410"/>
      <c r="T62" s="432"/>
      <c r="U62" s="412"/>
      <c r="V62"/>
      <c r="W62"/>
      <c r="X62"/>
      <c r="Y62" s="425"/>
      <c r="Z62" s="112"/>
      <c r="AA62" s="111" t="s">
        <v>1727</v>
      </c>
      <c r="AB62" s="113" t="s">
        <v>1734</v>
      </c>
      <c r="AC62" s="121" t="str">
        <f t="shared" si="216"/>
        <v>Сланцы</v>
      </c>
      <c r="AD62" s="191" t="str">
        <f t="shared" si="143"/>
        <v>Сланцы :: ACTI</v>
      </c>
      <c r="AE62" s="122"/>
      <c r="AF62" s="116">
        <f t="shared" si="217"/>
        <v>0</v>
      </c>
      <c r="AG62" s="185">
        <f t="shared" si="218"/>
        <v>0</v>
      </c>
      <c r="AH62" s="185">
        <f t="shared" si="219"/>
        <v>0</v>
      </c>
      <c r="AI62" s="185">
        <f t="shared" si="220"/>
        <v>0</v>
      </c>
      <c r="AJ62" s="185">
        <f t="shared" si="221"/>
        <v>0</v>
      </c>
      <c r="AK62" s="122"/>
      <c r="AL62" s="122"/>
      <c r="AM62" s="123">
        <f t="shared" si="222"/>
        <v>0</v>
      </c>
      <c r="AN62" s="123">
        <f t="shared" si="223"/>
        <v>0</v>
      </c>
      <c r="AO62" s="116">
        <f t="shared" si="224"/>
        <v>0</v>
      </c>
      <c r="AP62" s="115"/>
      <c r="AQ62" s="115"/>
      <c r="AR62" s="115"/>
      <c r="AS62" s="122"/>
      <c r="AT62" s="116">
        <f t="shared" si="225"/>
        <v>0</v>
      </c>
      <c r="AU62" s="122"/>
      <c r="AV62" s="123">
        <f t="shared" si="226"/>
        <v>0</v>
      </c>
      <c r="AW62" s="116">
        <f t="shared" si="227"/>
        <v>0</v>
      </c>
      <c r="AX62" s="117"/>
      <c r="AY62" s="116">
        <f t="shared" si="228"/>
        <v>0</v>
      </c>
      <c r="AZ62" s="117"/>
      <c r="BA62" s="116">
        <f t="shared" si="229"/>
        <v>0</v>
      </c>
      <c r="BB62" s="116">
        <f t="shared" si="230"/>
        <v>0</v>
      </c>
      <c r="BC62" s="117"/>
      <c r="BD62" s="116">
        <f t="shared" si="231"/>
        <v>0</v>
      </c>
      <c r="BE62" s="117"/>
      <c r="BF62" s="116">
        <f t="shared" si="232"/>
        <v>0</v>
      </c>
      <c r="BG62" s="116">
        <f t="shared" si="233"/>
        <v>0</v>
      </c>
      <c r="BH62" s="115"/>
      <c r="BI62" s="115"/>
      <c r="BJ62" s="115"/>
      <c r="BK62" s="115"/>
      <c r="BL62" s="115"/>
      <c r="BM62" s="365"/>
      <c r="BN62" s="116">
        <f t="shared" si="234"/>
        <v>0</v>
      </c>
      <c r="BO62" s="185">
        <f t="shared" si="235"/>
        <v>0</v>
      </c>
      <c r="BP62" s="185">
        <f t="shared" si="236"/>
        <v>0</v>
      </c>
      <c r="BQ62" s="185">
        <f t="shared" si="237"/>
        <v>0</v>
      </c>
      <c r="BR62" s="185">
        <f t="shared" si="238"/>
        <v>0</v>
      </c>
      <c r="BS62" s="365"/>
      <c r="BT62" s="365"/>
      <c r="BU62" s="123">
        <f t="shared" si="239"/>
        <v>0</v>
      </c>
      <c r="BV62" s="123">
        <f t="shared" si="240"/>
        <v>0</v>
      </c>
      <c r="BW62" s="116">
        <f t="shared" si="241"/>
        <v>0</v>
      </c>
      <c r="BX62" s="115"/>
      <c r="BY62" s="115"/>
      <c r="BZ62" s="115"/>
      <c r="CA62" s="365"/>
      <c r="CB62" s="116">
        <f t="shared" si="242"/>
        <v>0</v>
      </c>
      <c r="CC62" s="365"/>
      <c r="CD62" s="123">
        <f t="shared" si="243"/>
        <v>0</v>
      </c>
      <c r="CE62" s="116">
        <f t="shared" si="244"/>
        <v>0</v>
      </c>
      <c r="CF62" s="218"/>
      <c r="CG62" s="116">
        <f t="shared" si="245"/>
        <v>0</v>
      </c>
      <c r="CH62" s="218"/>
      <c r="CI62" s="116">
        <f t="shared" si="246"/>
        <v>0</v>
      </c>
      <c r="CJ62" s="116">
        <f t="shared" si="247"/>
        <v>0</v>
      </c>
      <c r="CK62" s="218"/>
      <c r="CL62" s="116">
        <f t="shared" si="248"/>
        <v>0</v>
      </c>
      <c r="CM62" s="218"/>
      <c r="CN62" s="116">
        <f t="shared" si="249"/>
        <v>0</v>
      </c>
      <c r="CO62" s="116">
        <f t="shared" si="250"/>
        <v>0</v>
      </c>
      <c r="CP62" s="115"/>
      <c r="CQ62" s="115"/>
      <c r="CR62" s="115"/>
      <c r="CS62" s="115"/>
      <c r="CT62" s="115"/>
      <c r="CU62" s="365"/>
      <c r="CV62" s="116">
        <f t="shared" si="251"/>
        <v>0</v>
      </c>
      <c r="CW62" s="185">
        <f t="shared" si="252"/>
        <v>0</v>
      </c>
      <c r="CX62" s="185">
        <f t="shared" si="253"/>
        <v>0</v>
      </c>
      <c r="CY62" s="185">
        <f t="shared" si="254"/>
        <v>0</v>
      </c>
      <c r="CZ62" s="185">
        <f t="shared" si="255"/>
        <v>0</v>
      </c>
      <c r="DA62" s="365"/>
      <c r="DB62" s="365"/>
      <c r="DC62" s="123">
        <f t="shared" si="256"/>
        <v>0</v>
      </c>
      <c r="DD62" s="123">
        <f t="shared" si="257"/>
        <v>0</v>
      </c>
      <c r="DE62" s="116">
        <f t="shared" si="258"/>
        <v>0</v>
      </c>
      <c r="DF62" s="115"/>
      <c r="DG62" s="115"/>
      <c r="DH62" s="115"/>
      <c r="DI62" s="365"/>
      <c r="DJ62" s="116">
        <f t="shared" si="259"/>
        <v>0</v>
      </c>
      <c r="DK62" s="365"/>
      <c r="DL62" s="123">
        <f t="shared" si="260"/>
        <v>0</v>
      </c>
      <c r="DM62" s="116">
        <f t="shared" si="261"/>
        <v>0</v>
      </c>
      <c r="DN62" s="218"/>
      <c r="DO62" s="116">
        <f t="shared" si="262"/>
        <v>0</v>
      </c>
      <c r="DP62" s="218"/>
      <c r="DQ62" s="116">
        <f t="shared" si="263"/>
        <v>0</v>
      </c>
      <c r="DR62" s="116">
        <f t="shared" si="264"/>
        <v>0</v>
      </c>
      <c r="DS62" s="218"/>
      <c r="DT62" s="116">
        <f t="shared" si="265"/>
        <v>0</v>
      </c>
      <c r="DU62" s="218"/>
      <c r="DV62" s="116">
        <f t="shared" si="266"/>
        <v>0</v>
      </c>
      <c r="DW62" s="116">
        <f t="shared" si="267"/>
        <v>0</v>
      </c>
      <c r="DX62" s="115"/>
      <c r="DY62" s="115"/>
      <c r="DZ62" s="115"/>
      <c r="EA62" s="115"/>
      <c r="EB62" s="115"/>
      <c r="EC62" s="365"/>
      <c r="ED62" s="116">
        <f t="shared" si="268"/>
        <v>0</v>
      </c>
      <c r="EE62" s="185">
        <f t="shared" si="269"/>
        <v>0</v>
      </c>
      <c r="EF62" s="185">
        <f t="shared" si="270"/>
        <v>0</v>
      </c>
      <c r="EG62" s="185">
        <f t="shared" si="271"/>
        <v>0</v>
      </c>
      <c r="EH62" s="185">
        <f t="shared" si="272"/>
        <v>0</v>
      </c>
      <c r="EI62" s="365"/>
      <c r="EJ62" s="365"/>
      <c r="EK62" s="123">
        <f t="shared" si="273"/>
        <v>0</v>
      </c>
      <c r="EL62" s="123">
        <f t="shared" si="274"/>
        <v>0</v>
      </c>
      <c r="EM62" s="116">
        <f t="shared" si="275"/>
        <v>0</v>
      </c>
      <c r="EN62" s="115"/>
      <c r="EO62" s="115"/>
      <c r="EP62" s="115"/>
      <c r="EQ62" s="365"/>
      <c r="ER62" s="116">
        <f t="shared" si="276"/>
        <v>0</v>
      </c>
      <c r="ES62" s="365"/>
      <c r="ET62" s="123">
        <f t="shared" si="277"/>
        <v>0</v>
      </c>
      <c r="EU62" s="116">
        <f t="shared" si="278"/>
        <v>0</v>
      </c>
      <c r="EV62" s="218"/>
      <c r="EW62" s="116">
        <f t="shared" si="279"/>
        <v>0</v>
      </c>
      <c r="EX62" s="218"/>
      <c r="EY62" s="116">
        <f t="shared" si="280"/>
        <v>0</v>
      </c>
      <c r="EZ62" s="116">
        <f t="shared" si="281"/>
        <v>0</v>
      </c>
      <c r="FA62" s="218"/>
      <c r="FB62" s="116">
        <f t="shared" si="282"/>
        <v>0</v>
      </c>
      <c r="FC62" s="218"/>
      <c r="FD62" s="116">
        <f t="shared" si="283"/>
        <v>0</v>
      </c>
      <c r="FE62" s="116">
        <f t="shared" si="284"/>
        <v>0</v>
      </c>
      <c r="FF62" s="115"/>
      <c r="FG62" s="115"/>
      <c r="FH62" s="115"/>
      <c r="FI62" s="115"/>
      <c r="FJ62" s="115"/>
      <c r="FK62" s="110" t="str">
        <f>$T46</f>
        <v>нет</v>
      </c>
      <c r="FL62" s="118" t="str">
        <f>IF($G46="","ACTI","DELD")</f>
        <v>ACTI</v>
      </c>
      <c r="FM62" s="119" t="str">
        <f>$I46 &amp; "." &amp; $AA62 &amp; ".1"</f>
        <v>1.13.1</v>
      </c>
      <c r="FN62" s="427"/>
      <c r="FO62" s="201"/>
      <c r="FP62" s="360"/>
      <c r="FQ62" s="360"/>
      <c r="FR62" s="360"/>
      <c r="FS62" s="204">
        <f t="shared" si="164"/>
        <v>0</v>
      </c>
      <c r="FT62" s="9"/>
      <c r="FU62" s="9"/>
      <c r="FV62" s="9"/>
      <c r="FW62" s="9"/>
      <c r="FX62" s="205"/>
      <c r="FY62" s="9"/>
      <c r="FZ62" s="206"/>
      <c r="GA62" s="46"/>
      <c r="GD62" s="192" t="str">
        <f>M46</f>
        <v>2633001132</v>
      </c>
      <c r="GE62" s="192" t="str">
        <f>N46</f>
        <v>263601001</v>
      </c>
      <c r="GF62" s="193" t="str">
        <f>MID(Q46,1,50) &amp; LEN(Q46)</f>
        <v>0</v>
      </c>
      <c r="GG62" s="192" t="str">
        <f>IF(S46="производство комбинированная выработка","COGENERATION","HEATING")</f>
        <v>HEATING</v>
      </c>
      <c r="GH62" s="194" t="str">
        <f t="shared" si="165"/>
        <v>Сланцы :: ACTI</v>
      </c>
      <c r="GI62" s="194" t="str">
        <f t="shared" si="166"/>
        <v>2633001132::263601001::0::HEATING::Сланцы :: ACTI</v>
      </c>
      <c r="GJ62" s="10"/>
      <c r="GK62" s="10"/>
      <c r="GL62" s="10"/>
      <c r="GM62" s="10"/>
    </row>
    <row r="63" spans="6:195" s="75" customFormat="1" ht="12" hidden="1" customHeight="1">
      <c r="F63" s="200"/>
      <c r="G63" s="406"/>
      <c r="H63" s="411"/>
      <c r="I63" s="412"/>
      <c r="J63" s="417"/>
      <c r="K63" s="417"/>
      <c r="L63" s="419"/>
      <c r="M63" s="418"/>
      <c r="N63" s="418"/>
      <c r="O63" s="418"/>
      <c r="P63" s="415"/>
      <c r="Q63" s="416"/>
      <c r="R63" s="426"/>
      <c r="S63" s="410"/>
      <c r="T63" s="432"/>
      <c r="U63" s="412"/>
      <c r="V63"/>
      <c r="W63"/>
      <c r="X63"/>
      <c r="Y63" s="425"/>
      <c r="Z63" s="112"/>
      <c r="AA63" s="110" t="s">
        <v>1728</v>
      </c>
      <c r="AB63" s="113" t="s">
        <v>1746</v>
      </c>
      <c r="AC63" s="121" t="str">
        <f t="shared" si="216"/>
        <v>Печное бытовое топливо</v>
      </c>
      <c r="AD63" s="191" t="str">
        <f t="shared" si="143"/>
        <v>Печное бытовое топливо :: ACTI</v>
      </c>
      <c r="AE63" s="122"/>
      <c r="AF63" s="116">
        <f t="shared" si="217"/>
        <v>0</v>
      </c>
      <c r="AG63" s="185">
        <f t="shared" si="218"/>
        <v>0</v>
      </c>
      <c r="AH63" s="185">
        <f t="shared" si="219"/>
        <v>0</v>
      </c>
      <c r="AI63" s="185">
        <f t="shared" si="220"/>
        <v>0</v>
      </c>
      <c r="AJ63" s="185">
        <f t="shared" si="221"/>
        <v>0</v>
      </c>
      <c r="AK63" s="122"/>
      <c r="AL63" s="122"/>
      <c r="AM63" s="123">
        <f t="shared" si="222"/>
        <v>0</v>
      </c>
      <c r="AN63" s="123">
        <f t="shared" si="223"/>
        <v>0</v>
      </c>
      <c r="AO63" s="116">
        <f t="shared" si="224"/>
        <v>0</v>
      </c>
      <c r="AP63" s="115"/>
      <c r="AQ63" s="115"/>
      <c r="AR63" s="115"/>
      <c r="AS63" s="122"/>
      <c r="AT63" s="116">
        <f t="shared" si="225"/>
        <v>0</v>
      </c>
      <c r="AU63" s="122"/>
      <c r="AV63" s="123">
        <f t="shared" si="226"/>
        <v>0</v>
      </c>
      <c r="AW63" s="116">
        <f t="shared" si="227"/>
        <v>0</v>
      </c>
      <c r="AX63" s="117"/>
      <c r="AY63" s="116">
        <f t="shared" si="228"/>
        <v>0</v>
      </c>
      <c r="AZ63" s="117"/>
      <c r="BA63" s="116">
        <f t="shared" si="229"/>
        <v>0</v>
      </c>
      <c r="BB63" s="116">
        <f t="shared" si="230"/>
        <v>0</v>
      </c>
      <c r="BC63" s="117"/>
      <c r="BD63" s="116">
        <f t="shared" si="231"/>
        <v>0</v>
      </c>
      <c r="BE63" s="117"/>
      <c r="BF63" s="116">
        <f t="shared" si="232"/>
        <v>0</v>
      </c>
      <c r="BG63" s="116">
        <f t="shared" si="233"/>
        <v>0</v>
      </c>
      <c r="BH63" s="115"/>
      <c r="BI63" s="115"/>
      <c r="BJ63" s="115"/>
      <c r="BK63" s="115"/>
      <c r="BL63" s="115"/>
      <c r="BM63" s="365"/>
      <c r="BN63" s="116">
        <f t="shared" si="234"/>
        <v>0</v>
      </c>
      <c r="BO63" s="185">
        <f t="shared" si="235"/>
        <v>0</v>
      </c>
      <c r="BP63" s="185">
        <f t="shared" si="236"/>
        <v>0</v>
      </c>
      <c r="BQ63" s="185">
        <f t="shared" si="237"/>
        <v>0</v>
      </c>
      <c r="BR63" s="185">
        <f t="shared" si="238"/>
        <v>0</v>
      </c>
      <c r="BS63" s="365"/>
      <c r="BT63" s="365"/>
      <c r="BU63" s="123">
        <f t="shared" si="239"/>
        <v>0</v>
      </c>
      <c r="BV63" s="123">
        <f t="shared" si="240"/>
        <v>0</v>
      </c>
      <c r="BW63" s="116">
        <f t="shared" si="241"/>
        <v>0</v>
      </c>
      <c r="BX63" s="115"/>
      <c r="BY63" s="115"/>
      <c r="BZ63" s="115"/>
      <c r="CA63" s="365"/>
      <c r="CB63" s="116">
        <f t="shared" si="242"/>
        <v>0</v>
      </c>
      <c r="CC63" s="365"/>
      <c r="CD63" s="123">
        <f t="shared" si="243"/>
        <v>0</v>
      </c>
      <c r="CE63" s="116">
        <f t="shared" si="244"/>
        <v>0</v>
      </c>
      <c r="CF63" s="218"/>
      <c r="CG63" s="116">
        <f t="shared" si="245"/>
        <v>0</v>
      </c>
      <c r="CH63" s="218"/>
      <c r="CI63" s="116">
        <f t="shared" si="246"/>
        <v>0</v>
      </c>
      <c r="CJ63" s="116">
        <f t="shared" si="247"/>
        <v>0</v>
      </c>
      <c r="CK63" s="218"/>
      <c r="CL63" s="116">
        <f t="shared" si="248"/>
        <v>0</v>
      </c>
      <c r="CM63" s="218"/>
      <c r="CN63" s="116">
        <f t="shared" si="249"/>
        <v>0</v>
      </c>
      <c r="CO63" s="116">
        <f t="shared" si="250"/>
        <v>0</v>
      </c>
      <c r="CP63" s="115"/>
      <c r="CQ63" s="115"/>
      <c r="CR63" s="115"/>
      <c r="CS63" s="115"/>
      <c r="CT63" s="115"/>
      <c r="CU63" s="365"/>
      <c r="CV63" s="116">
        <f t="shared" si="251"/>
        <v>0</v>
      </c>
      <c r="CW63" s="185">
        <f t="shared" si="252"/>
        <v>0</v>
      </c>
      <c r="CX63" s="185">
        <f t="shared" si="253"/>
        <v>0</v>
      </c>
      <c r="CY63" s="185">
        <f t="shared" si="254"/>
        <v>0</v>
      </c>
      <c r="CZ63" s="185">
        <f t="shared" si="255"/>
        <v>0</v>
      </c>
      <c r="DA63" s="365"/>
      <c r="DB63" s="365"/>
      <c r="DC63" s="123">
        <f t="shared" si="256"/>
        <v>0</v>
      </c>
      <c r="DD63" s="123">
        <f t="shared" si="257"/>
        <v>0</v>
      </c>
      <c r="DE63" s="116">
        <f t="shared" si="258"/>
        <v>0</v>
      </c>
      <c r="DF63" s="115"/>
      <c r="DG63" s="115"/>
      <c r="DH63" s="115"/>
      <c r="DI63" s="365"/>
      <c r="DJ63" s="116">
        <f t="shared" si="259"/>
        <v>0</v>
      </c>
      <c r="DK63" s="365"/>
      <c r="DL63" s="123">
        <f t="shared" si="260"/>
        <v>0</v>
      </c>
      <c r="DM63" s="116">
        <f t="shared" si="261"/>
        <v>0</v>
      </c>
      <c r="DN63" s="218"/>
      <c r="DO63" s="116">
        <f t="shared" si="262"/>
        <v>0</v>
      </c>
      <c r="DP63" s="218"/>
      <c r="DQ63" s="116">
        <f t="shared" si="263"/>
        <v>0</v>
      </c>
      <c r="DR63" s="116">
        <f t="shared" si="264"/>
        <v>0</v>
      </c>
      <c r="DS63" s="218"/>
      <c r="DT63" s="116">
        <f t="shared" si="265"/>
        <v>0</v>
      </c>
      <c r="DU63" s="218"/>
      <c r="DV63" s="116">
        <f t="shared" si="266"/>
        <v>0</v>
      </c>
      <c r="DW63" s="116">
        <f t="shared" si="267"/>
        <v>0</v>
      </c>
      <c r="DX63" s="115"/>
      <c r="DY63" s="115"/>
      <c r="DZ63" s="115"/>
      <c r="EA63" s="115"/>
      <c r="EB63" s="115"/>
      <c r="EC63" s="365"/>
      <c r="ED63" s="116">
        <f t="shared" si="268"/>
        <v>0</v>
      </c>
      <c r="EE63" s="185">
        <f t="shared" si="269"/>
        <v>0</v>
      </c>
      <c r="EF63" s="185">
        <f t="shared" si="270"/>
        <v>0</v>
      </c>
      <c r="EG63" s="185">
        <f t="shared" si="271"/>
        <v>0</v>
      </c>
      <c r="EH63" s="185">
        <f t="shared" si="272"/>
        <v>0</v>
      </c>
      <c r="EI63" s="365"/>
      <c r="EJ63" s="365"/>
      <c r="EK63" s="123">
        <f t="shared" si="273"/>
        <v>0</v>
      </c>
      <c r="EL63" s="123">
        <f t="shared" si="274"/>
        <v>0</v>
      </c>
      <c r="EM63" s="116">
        <f t="shared" si="275"/>
        <v>0</v>
      </c>
      <c r="EN63" s="115"/>
      <c r="EO63" s="115"/>
      <c r="EP63" s="115"/>
      <c r="EQ63" s="365"/>
      <c r="ER63" s="116">
        <f t="shared" si="276"/>
        <v>0</v>
      </c>
      <c r="ES63" s="365"/>
      <c r="ET63" s="123">
        <f t="shared" si="277"/>
        <v>0</v>
      </c>
      <c r="EU63" s="116">
        <f t="shared" si="278"/>
        <v>0</v>
      </c>
      <c r="EV63" s="218"/>
      <c r="EW63" s="116">
        <f t="shared" si="279"/>
        <v>0</v>
      </c>
      <c r="EX63" s="218"/>
      <c r="EY63" s="116">
        <f t="shared" si="280"/>
        <v>0</v>
      </c>
      <c r="EZ63" s="116">
        <f t="shared" si="281"/>
        <v>0</v>
      </c>
      <c r="FA63" s="218"/>
      <c r="FB63" s="116">
        <f t="shared" si="282"/>
        <v>0</v>
      </c>
      <c r="FC63" s="218"/>
      <c r="FD63" s="116">
        <f t="shared" si="283"/>
        <v>0</v>
      </c>
      <c r="FE63" s="116">
        <f t="shared" si="284"/>
        <v>0</v>
      </c>
      <c r="FF63" s="115"/>
      <c r="FG63" s="115"/>
      <c r="FH63" s="115"/>
      <c r="FI63" s="115"/>
      <c r="FJ63" s="115"/>
      <c r="FK63" s="110" t="str">
        <f>$T46</f>
        <v>нет</v>
      </c>
      <c r="FL63" s="118" t="str">
        <f>IF($G46="","ACTI","DELD")</f>
        <v>ACTI</v>
      </c>
      <c r="FM63" s="119" t="str">
        <f>$I46 &amp; "." &amp; $AA63 &amp; ".1"</f>
        <v>1.14.1</v>
      </c>
      <c r="FN63" s="427"/>
      <c r="FO63" s="201"/>
      <c r="FP63" s="360"/>
      <c r="FQ63" s="360"/>
      <c r="FR63" s="360"/>
      <c r="FS63" s="204">
        <f t="shared" si="164"/>
        <v>0</v>
      </c>
      <c r="FT63" s="9"/>
      <c r="FU63" s="9"/>
      <c r="FV63" s="9"/>
      <c r="FW63" s="9"/>
      <c r="FX63" s="205"/>
      <c r="FY63" s="9"/>
      <c r="FZ63" s="206"/>
      <c r="GA63" s="46"/>
      <c r="GD63" s="192" t="str">
        <f>M46</f>
        <v>2633001132</v>
      </c>
      <c r="GE63" s="192" t="str">
        <f>N46</f>
        <v>263601001</v>
      </c>
      <c r="GF63" s="193" t="str">
        <f>MID(Q46,1,50) &amp; LEN(Q46)</f>
        <v>0</v>
      </c>
      <c r="GG63" s="192" t="str">
        <f>IF(S46="производство комбинированная выработка","COGENERATION","HEATING")</f>
        <v>HEATING</v>
      </c>
      <c r="GH63" s="194" t="str">
        <f t="shared" si="165"/>
        <v>Печное бытовое топливо :: ACTI</v>
      </c>
      <c r="GI63" s="194" t="str">
        <f t="shared" si="166"/>
        <v>2633001132::263601001::0::HEATING::Печное бытовое топливо :: ACTI</v>
      </c>
      <c r="GJ63" s="10"/>
      <c r="GK63" s="10"/>
      <c r="GL63" s="10"/>
      <c r="GM63" s="10"/>
    </row>
    <row r="64" spans="6:195" s="75" customFormat="1" ht="12" hidden="1" customHeight="1">
      <c r="F64" s="200"/>
      <c r="G64" s="406"/>
      <c r="H64" s="411"/>
      <c r="I64" s="412"/>
      <c r="J64" s="417"/>
      <c r="K64" s="417"/>
      <c r="L64" s="419"/>
      <c r="M64" s="418"/>
      <c r="N64" s="418"/>
      <c r="O64" s="418"/>
      <c r="P64" s="415"/>
      <c r="Q64" s="416"/>
      <c r="R64" s="426"/>
      <c r="S64" s="410"/>
      <c r="T64" s="432"/>
      <c r="U64" s="412"/>
      <c r="V64"/>
      <c r="W64"/>
      <c r="X64"/>
      <c r="Y64" s="425"/>
      <c r="Z64" s="112"/>
      <c r="AA64" s="111" t="s">
        <v>1729</v>
      </c>
      <c r="AB64" s="113" t="s">
        <v>1747</v>
      </c>
      <c r="AC64" s="121" t="str">
        <f>AB64</f>
        <v>Прочие виды топлива</v>
      </c>
      <c r="AD64" s="191" t="str">
        <f t="shared" si="143"/>
        <v>Прочие виды топлива :: ACTI</v>
      </c>
      <c r="AE64" s="122"/>
      <c r="AF64" s="116">
        <f t="shared" si="217"/>
        <v>0</v>
      </c>
      <c r="AG64" s="185">
        <f t="shared" si="218"/>
        <v>0</v>
      </c>
      <c r="AH64" s="185">
        <f t="shared" si="219"/>
        <v>0</v>
      </c>
      <c r="AI64" s="185">
        <f t="shared" si="220"/>
        <v>0</v>
      </c>
      <c r="AJ64" s="185">
        <f t="shared" si="221"/>
        <v>0</v>
      </c>
      <c r="AK64" s="122"/>
      <c r="AL64" s="122"/>
      <c r="AM64" s="123">
        <f t="shared" si="222"/>
        <v>0</v>
      </c>
      <c r="AN64" s="123">
        <f t="shared" si="223"/>
        <v>0</v>
      </c>
      <c r="AO64" s="116">
        <f t="shared" si="224"/>
        <v>0</v>
      </c>
      <c r="AP64" s="115"/>
      <c r="AQ64" s="115"/>
      <c r="AR64" s="115"/>
      <c r="AS64" s="122"/>
      <c r="AT64" s="116">
        <f t="shared" si="225"/>
        <v>0</v>
      </c>
      <c r="AU64" s="122"/>
      <c r="AV64" s="123">
        <f t="shared" si="226"/>
        <v>0</v>
      </c>
      <c r="AW64" s="116">
        <f t="shared" si="227"/>
        <v>0</v>
      </c>
      <c r="AX64" s="117"/>
      <c r="AY64" s="116">
        <f t="shared" si="228"/>
        <v>0</v>
      </c>
      <c r="AZ64" s="117"/>
      <c r="BA64" s="116">
        <f t="shared" si="229"/>
        <v>0</v>
      </c>
      <c r="BB64" s="116">
        <f t="shared" si="230"/>
        <v>0</v>
      </c>
      <c r="BC64" s="117"/>
      <c r="BD64" s="116">
        <f t="shared" si="231"/>
        <v>0</v>
      </c>
      <c r="BE64" s="117"/>
      <c r="BF64" s="116">
        <f t="shared" si="232"/>
        <v>0</v>
      </c>
      <c r="BG64" s="116">
        <f t="shared" si="233"/>
        <v>0</v>
      </c>
      <c r="BH64" s="115"/>
      <c r="BI64" s="115"/>
      <c r="BJ64" s="115"/>
      <c r="BK64" s="115"/>
      <c r="BL64" s="115"/>
      <c r="BM64" s="365"/>
      <c r="BN64" s="116">
        <f t="shared" si="234"/>
        <v>0</v>
      </c>
      <c r="BO64" s="185">
        <f t="shared" si="235"/>
        <v>0</v>
      </c>
      <c r="BP64" s="185">
        <f t="shared" si="236"/>
        <v>0</v>
      </c>
      <c r="BQ64" s="185">
        <f t="shared" si="237"/>
        <v>0</v>
      </c>
      <c r="BR64" s="185">
        <f t="shared" si="238"/>
        <v>0</v>
      </c>
      <c r="BS64" s="365"/>
      <c r="BT64" s="365"/>
      <c r="BU64" s="123">
        <f t="shared" si="239"/>
        <v>0</v>
      </c>
      <c r="BV64" s="123">
        <f t="shared" si="240"/>
        <v>0</v>
      </c>
      <c r="BW64" s="116">
        <f t="shared" si="241"/>
        <v>0</v>
      </c>
      <c r="BX64" s="115"/>
      <c r="BY64" s="115"/>
      <c r="BZ64" s="115"/>
      <c r="CA64" s="365"/>
      <c r="CB64" s="116">
        <f t="shared" si="242"/>
        <v>0</v>
      </c>
      <c r="CC64" s="365"/>
      <c r="CD64" s="123">
        <f t="shared" si="243"/>
        <v>0</v>
      </c>
      <c r="CE64" s="116">
        <f t="shared" si="244"/>
        <v>0</v>
      </c>
      <c r="CF64" s="218"/>
      <c r="CG64" s="116">
        <f t="shared" si="245"/>
        <v>0</v>
      </c>
      <c r="CH64" s="218"/>
      <c r="CI64" s="116">
        <f t="shared" si="246"/>
        <v>0</v>
      </c>
      <c r="CJ64" s="116">
        <f t="shared" si="247"/>
        <v>0</v>
      </c>
      <c r="CK64" s="218"/>
      <c r="CL64" s="116">
        <f t="shared" si="248"/>
        <v>0</v>
      </c>
      <c r="CM64" s="218"/>
      <c r="CN64" s="116">
        <f t="shared" si="249"/>
        <v>0</v>
      </c>
      <c r="CO64" s="116">
        <f t="shared" si="250"/>
        <v>0</v>
      </c>
      <c r="CP64" s="115"/>
      <c r="CQ64" s="115"/>
      <c r="CR64" s="115"/>
      <c r="CS64" s="115"/>
      <c r="CT64" s="115"/>
      <c r="CU64" s="365"/>
      <c r="CV64" s="116">
        <f t="shared" si="251"/>
        <v>0</v>
      </c>
      <c r="CW64" s="185">
        <f t="shared" si="252"/>
        <v>0</v>
      </c>
      <c r="CX64" s="185">
        <f t="shared" si="253"/>
        <v>0</v>
      </c>
      <c r="CY64" s="185">
        <f t="shared" si="254"/>
        <v>0</v>
      </c>
      <c r="CZ64" s="185">
        <f t="shared" si="255"/>
        <v>0</v>
      </c>
      <c r="DA64" s="365"/>
      <c r="DB64" s="365"/>
      <c r="DC64" s="123">
        <f t="shared" si="256"/>
        <v>0</v>
      </c>
      <c r="DD64" s="123">
        <f t="shared" si="257"/>
        <v>0</v>
      </c>
      <c r="DE64" s="116">
        <f t="shared" si="258"/>
        <v>0</v>
      </c>
      <c r="DF64" s="115"/>
      <c r="DG64" s="115"/>
      <c r="DH64" s="115"/>
      <c r="DI64" s="365"/>
      <c r="DJ64" s="116">
        <f t="shared" si="259"/>
        <v>0</v>
      </c>
      <c r="DK64" s="365"/>
      <c r="DL64" s="123">
        <f t="shared" si="260"/>
        <v>0</v>
      </c>
      <c r="DM64" s="116">
        <f t="shared" si="261"/>
        <v>0</v>
      </c>
      <c r="DN64" s="218"/>
      <c r="DO64" s="116">
        <f t="shared" si="262"/>
        <v>0</v>
      </c>
      <c r="DP64" s="218"/>
      <c r="DQ64" s="116">
        <f t="shared" si="263"/>
        <v>0</v>
      </c>
      <c r="DR64" s="116">
        <f t="shared" si="264"/>
        <v>0</v>
      </c>
      <c r="DS64" s="218"/>
      <c r="DT64" s="116">
        <f t="shared" si="265"/>
        <v>0</v>
      </c>
      <c r="DU64" s="218"/>
      <c r="DV64" s="116">
        <f t="shared" si="266"/>
        <v>0</v>
      </c>
      <c r="DW64" s="116">
        <f t="shared" si="267"/>
        <v>0</v>
      </c>
      <c r="DX64" s="115"/>
      <c r="DY64" s="115"/>
      <c r="DZ64" s="115"/>
      <c r="EA64" s="115"/>
      <c r="EB64" s="115"/>
      <c r="EC64" s="365"/>
      <c r="ED64" s="116">
        <f t="shared" si="268"/>
        <v>0</v>
      </c>
      <c r="EE64" s="185">
        <f t="shared" si="269"/>
        <v>0</v>
      </c>
      <c r="EF64" s="185">
        <f t="shared" si="270"/>
        <v>0</v>
      </c>
      <c r="EG64" s="185">
        <f t="shared" si="271"/>
        <v>0</v>
      </c>
      <c r="EH64" s="185">
        <f t="shared" si="272"/>
        <v>0</v>
      </c>
      <c r="EI64" s="365"/>
      <c r="EJ64" s="365"/>
      <c r="EK64" s="123">
        <f t="shared" si="273"/>
        <v>0</v>
      </c>
      <c r="EL64" s="123">
        <f t="shared" si="274"/>
        <v>0</v>
      </c>
      <c r="EM64" s="116">
        <f t="shared" si="275"/>
        <v>0</v>
      </c>
      <c r="EN64" s="115"/>
      <c r="EO64" s="115"/>
      <c r="EP64" s="115"/>
      <c r="EQ64" s="365"/>
      <c r="ER64" s="116">
        <f t="shared" si="276"/>
        <v>0</v>
      </c>
      <c r="ES64" s="365"/>
      <c r="ET64" s="123">
        <f t="shared" si="277"/>
        <v>0</v>
      </c>
      <c r="EU64" s="116">
        <f t="shared" si="278"/>
        <v>0</v>
      </c>
      <c r="EV64" s="218"/>
      <c r="EW64" s="116">
        <f t="shared" si="279"/>
        <v>0</v>
      </c>
      <c r="EX64" s="218"/>
      <c r="EY64" s="116">
        <f t="shared" si="280"/>
        <v>0</v>
      </c>
      <c r="EZ64" s="116">
        <f t="shared" si="281"/>
        <v>0</v>
      </c>
      <c r="FA64" s="218"/>
      <c r="FB64" s="116">
        <f t="shared" si="282"/>
        <v>0</v>
      </c>
      <c r="FC64" s="218"/>
      <c r="FD64" s="116">
        <f t="shared" si="283"/>
        <v>0</v>
      </c>
      <c r="FE64" s="116">
        <f t="shared" si="284"/>
        <v>0</v>
      </c>
      <c r="FF64" s="115"/>
      <c r="FG64" s="115"/>
      <c r="FH64" s="115"/>
      <c r="FI64" s="115"/>
      <c r="FJ64" s="115"/>
      <c r="FK64" s="110" t="str">
        <f>$T46</f>
        <v>нет</v>
      </c>
      <c r="FL64" s="118" t="str">
        <f>IF($G46="","ACTI","DELD")</f>
        <v>ACTI</v>
      </c>
      <c r="FM64" s="119" t="str">
        <f>$I46 &amp; "." &amp; $AA64 &amp; ".1"</f>
        <v>1.15.1</v>
      </c>
      <c r="FN64" s="427"/>
      <c r="FO64" s="201"/>
      <c r="FP64" s="360"/>
      <c r="FQ64" s="360"/>
      <c r="FR64" s="360"/>
      <c r="FS64" s="204">
        <f t="shared" si="164"/>
        <v>0</v>
      </c>
      <c r="FT64" s="9"/>
      <c r="FU64" s="9"/>
      <c r="FV64" s="9"/>
      <c r="FW64" s="9"/>
      <c r="FX64" s="205"/>
      <c r="FY64" s="9"/>
      <c r="FZ64" s="206"/>
      <c r="GA64" s="46"/>
      <c r="GD64" s="192" t="str">
        <f>M46</f>
        <v>2633001132</v>
      </c>
      <c r="GE64" s="192" t="str">
        <f>N46</f>
        <v>263601001</v>
      </c>
      <c r="GF64" s="193" t="str">
        <f>MID(Q46,1,50) &amp; LEN(Q46)</f>
        <v>0</v>
      </c>
      <c r="GG64" s="192" t="str">
        <f>IF(S46="производство комбинированная выработка","COGENERATION","HEATING")</f>
        <v>HEATING</v>
      </c>
      <c r="GH64" s="194" t="str">
        <f t="shared" si="165"/>
        <v>Прочие виды топлива :: ACTI</v>
      </c>
      <c r="GI64" s="194" t="str">
        <f t="shared" si="166"/>
        <v>2633001132::263601001::0::HEATING::Прочие виды топлива :: ACTI</v>
      </c>
      <c r="GJ64" s="10"/>
      <c r="GK64" s="10"/>
      <c r="GL64" s="10"/>
      <c r="GM64" s="10"/>
    </row>
    <row r="65" spans="6:195" s="75" customFormat="1" ht="12" customHeight="1">
      <c r="F65" s="200"/>
      <c r="G65" s="406"/>
      <c r="H65" s="411"/>
      <c r="I65" s="412"/>
      <c r="J65" s="417"/>
      <c r="K65" s="417"/>
      <c r="L65" s="419"/>
      <c r="M65" s="418"/>
      <c r="N65" s="418"/>
      <c r="O65" s="418"/>
      <c r="P65" s="415"/>
      <c r="Q65" s="416"/>
      <c r="R65" s="426"/>
      <c r="S65" s="410"/>
      <c r="T65" s="432"/>
      <c r="U65" s="412"/>
      <c r="V65"/>
      <c r="W65"/>
      <c r="X65"/>
      <c r="Y65" s="425"/>
      <c r="Z65" s="286" t="s">
        <v>1706</v>
      </c>
      <c r="AA65" s="286" t="s">
        <v>1724</v>
      </c>
      <c r="AB65" s="265"/>
      <c r="AC65" s="265"/>
      <c r="AD65" s="265"/>
      <c r="AE65" s="265"/>
      <c r="AF65" s="265"/>
      <c r="AG65" s="265"/>
      <c r="AH65" s="265"/>
      <c r="AI65" s="265"/>
      <c r="AJ65" s="265"/>
      <c r="AK65" s="265"/>
      <c r="AL65" s="265"/>
      <c r="AM65" s="265"/>
      <c r="AN65" s="265"/>
      <c r="AO65" s="265"/>
      <c r="AP65" s="265"/>
      <c r="AQ65" s="265"/>
      <c r="AR65" s="265"/>
      <c r="AS65" s="265"/>
      <c r="AT65" s="265"/>
      <c r="AU65" s="265"/>
      <c r="AV65" s="265"/>
      <c r="AW65" s="265"/>
      <c r="AX65" s="265"/>
      <c r="AY65" s="265"/>
      <c r="AZ65" s="265"/>
      <c r="BA65" s="265"/>
      <c r="BB65" s="265"/>
      <c r="BC65" s="265"/>
      <c r="BD65" s="265"/>
      <c r="BE65" s="265"/>
      <c r="BF65" s="265"/>
      <c r="BG65" s="265"/>
      <c r="BH65" s="265"/>
      <c r="BI65" s="265"/>
      <c r="BJ65" s="265"/>
      <c r="BK65" s="265"/>
      <c r="BL65" s="265"/>
      <c r="BM65" s="265"/>
      <c r="BN65" s="265"/>
      <c r="BO65" s="265"/>
      <c r="BP65" s="265"/>
      <c r="BQ65" s="265"/>
      <c r="BR65" s="265"/>
      <c r="BS65" s="265"/>
      <c r="BT65" s="265"/>
      <c r="BU65" s="265"/>
      <c r="BV65" s="265"/>
      <c r="BW65" s="265"/>
      <c r="BX65" s="265"/>
      <c r="BY65" s="265"/>
      <c r="BZ65" s="265"/>
      <c r="CA65" s="265"/>
      <c r="CB65" s="265"/>
      <c r="CC65" s="265"/>
      <c r="CD65" s="265"/>
      <c r="CE65" s="265"/>
      <c r="CF65" s="265"/>
      <c r="CG65" s="265"/>
      <c r="CH65" s="265"/>
      <c r="CI65" s="265"/>
      <c r="CJ65" s="265"/>
      <c r="CK65" s="265"/>
      <c r="CL65" s="265"/>
      <c r="CM65" s="265"/>
      <c r="CN65" s="265"/>
      <c r="CO65" s="265"/>
      <c r="CP65" s="265"/>
      <c r="CQ65" s="265"/>
      <c r="CR65" s="265"/>
      <c r="CS65" s="265"/>
      <c r="CT65" s="265"/>
      <c r="CU65" s="265"/>
      <c r="CV65" s="265"/>
      <c r="CW65" s="265"/>
      <c r="CX65" s="265"/>
      <c r="CY65" s="265"/>
      <c r="CZ65" s="265"/>
      <c r="DA65" s="265"/>
      <c r="DB65" s="265"/>
      <c r="DC65" s="265"/>
      <c r="DD65" s="265"/>
      <c r="DE65" s="265"/>
      <c r="DF65" s="265"/>
      <c r="DG65" s="265"/>
      <c r="DH65" s="265"/>
      <c r="DI65" s="265"/>
      <c r="DJ65" s="265"/>
      <c r="DK65" s="265"/>
      <c r="DL65" s="265"/>
      <c r="DM65" s="265"/>
      <c r="DN65" s="265"/>
      <c r="DO65" s="265"/>
      <c r="DP65" s="265"/>
      <c r="DQ65" s="265"/>
      <c r="DR65" s="265"/>
      <c r="DS65" s="265"/>
      <c r="DT65" s="265"/>
      <c r="DU65" s="265"/>
      <c r="DV65" s="265"/>
      <c r="DW65" s="265"/>
      <c r="DX65" s="265"/>
      <c r="DY65" s="265"/>
      <c r="DZ65" s="265"/>
      <c r="EA65" s="265"/>
      <c r="EB65" s="265"/>
      <c r="EC65" s="265"/>
      <c r="ED65" s="265"/>
      <c r="EE65" s="265"/>
      <c r="EF65" s="265"/>
      <c r="EG65" s="265"/>
      <c r="EH65" s="265"/>
      <c r="EI65" s="265"/>
      <c r="EJ65" s="265"/>
      <c r="EK65" s="265"/>
      <c r="EL65" s="265"/>
      <c r="EM65" s="265"/>
      <c r="EN65" s="265"/>
      <c r="EO65" s="265"/>
      <c r="EP65" s="265"/>
      <c r="EQ65" s="265"/>
      <c r="ER65" s="265"/>
      <c r="ES65" s="265"/>
      <c r="ET65" s="265"/>
      <c r="EU65" s="265"/>
      <c r="EV65" s="265"/>
      <c r="EW65" s="265"/>
      <c r="EX65" s="265"/>
      <c r="EY65" s="265"/>
      <c r="EZ65" s="265"/>
      <c r="FA65" s="265"/>
      <c r="FB65" s="265"/>
      <c r="FC65" s="265"/>
      <c r="FD65" s="265"/>
      <c r="FE65" s="265"/>
      <c r="FF65" s="265"/>
      <c r="FG65" s="265"/>
      <c r="FH65" s="265"/>
      <c r="FI65" s="265"/>
      <c r="FJ65" s="265"/>
      <c r="FK65" s="265"/>
      <c r="FL65" s="265"/>
      <c r="FM65" s="265"/>
      <c r="FN65" s="427"/>
      <c r="FO65" s="268"/>
      <c r="FP65" s="265"/>
      <c r="FQ65" s="265"/>
      <c r="FR65" s="269"/>
      <c r="FS65" s="204"/>
      <c r="FT65" s="205"/>
      <c r="FU65" s="205"/>
      <c r="FV65" s="205"/>
      <c r="FW65" s="205"/>
      <c r="FX65" s="9"/>
      <c r="FY65" s="207"/>
      <c r="FZ65" s="208"/>
      <c r="GA65" s="46"/>
      <c r="GD65" s="268"/>
      <c r="GE65" s="265"/>
      <c r="GF65" s="265"/>
      <c r="GG65" s="265"/>
      <c r="GH65" s="265"/>
      <c r="GI65" s="269"/>
      <c r="GJ65" s="10"/>
      <c r="GK65" s="10"/>
      <c r="GL65" s="10"/>
      <c r="GM65" s="10"/>
    </row>
    <row r="66" spans="6:195" s="58" customFormat="1" ht="12" customHeight="1">
      <c r="F66" s="59"/>
      <c r="G66" s="59"/>
      <c r="H66" s="59"/>
      <c r="I66" s="266"/>
      <c r="J66" s="496" t="s">
        <v>1566</v>
      </c>
      <c r="K66" s="496"/>
      <c r="L66" s="496"/>
      <c r="M66" s="496"/>
      <c r="N66" s="496"/>
      <c r="O66" s="264"/>
      <c r="P66" s="264"/>
      <c r="Q66" s="264"/>
      <c r="R66" s="264"/>
      <c r="S66" s="264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264"/>
      <c r="AL66" s="264"/>
      <c r="AM66" s="264"/>
      <c r="AN66" s="264"/>
      <c r="AO66" s="264"/>
      <c r="AP66" s="264"/>
      <c r="AQ66" s="264"/>
      <c r="AR66" s="264"/>
      <c r="AS66" s="264"/>
      <c r="AT66" s="264"/>
      <c r="AU66" s="264"/>
      <c r="AV66" s="264"/>
      <c r="AW66" s="264"/>
      <c r="AX66" s="264"/>
      <c r="AY66" s="264"/>
      <c r="AZ66" s="264"/>
      <c r="BA66" s="264"/>
      <c r="BB66" s="264"/>
      <c r="BC66" s="264"/>
      <c r="BD66" s="264"/>
      <c r="BE66" s="264"/>
      <c r="BF66" s="264"/>
      <c r="BG66" s="264"/>
      <c r="BH66" s="264"/>
      <c r="BI66" s="264"/>
      <c r="BJ66" s="264"/>
      <c r="BK66" s="264"/>
      <c r="BL66" s="264"/>
      <c r="BM66" s="264"/>
      <c r="BN66" s="264"/>
      <c r="BO66" s="264"/>
      <c r="BP66" s="264"/>
      <c r="BQ66" s="264"/>
      <c r="BR66" s="264"/>
      <c r="BS66" s="264"/>
      <c r="BT66" s="264"/>
      <c r="BU66" s="264"/>
      <c r="BV66" s="264"/>
      <c r="BW66" s="264"/>
      <c r="BX66" s="264"/>
      <c r="BY66" s="264"/>
      <c r="BZ66" s="264"/>
      <c r="CA66" s="264"/>
      <c r="CB66" s="264"/>
      <c r="CC66" s="264"/>
      <c r="CD66" s="264"/>
      <c r="CE66" s="264"/>
      <c r="CF66" s="264"/>
      <c r="CG66" s="264"/>
      <c r="CH66" s="264"/>
      <c r="CI66" s="264"/>
      <c r="CJ66" s="264"/>
      <c r="CK66" s="264"/>
      <c r="CL66" s="264"/>
      <c r="CM66" s="264"/>
      <c r="CN66" s="264"/>
      <c r="CO66" s="264"/>
      <c r="CP66" s="264"/>
      <c r="CQ66" s="264"/>
      <c r="CR66" s="264"/>
      <c r="CS66" s="264"/>
      <c r="CT66" s="264"/>
      <c r="CU66" s="264"/>
      <c r="CV66" s="264"/>
      <c r="CW66" s="264"/>
      <c r="CX66" s="264"/>
      <c r="CY66" s="264"/>
      <c r="CZ66" s="264"/>
      <c r="DA66" s="264"/>
      <c r="DB66" s="264"/>
      <c r="DC66" s="264"/>
      <c r="DD66" s="264"/>
      <c r="DE66" s="264"/>
      <c r="DF66" s="264"/>
      <c r="DG66" s="264"/>
      <c r="DH66" s="264"/>
      <c r="DI66" s="264"/>
      <c r="DJ66" s="264"/>
      <c r="DK66" s="264"/>
      <c r="DL66" s="264"/>
      <c r="DM66" s="264"/>
      <c r="DN66" s="264"/>
      <c r="DO66" s="264"/>
      <c r="DP66" s="264"/>
      <c r="DQ66" s="264"/>
      <c r="DR66" s="264"/>
      <c r="DS66" s="264"/>
      <c r="DT66" s="264"/>
      <c r="DU66" s="264"/>
      <c r="DV66" s="264"/>
      <c r="DW66" s="264"/>
      <c r="DX66" s="264"/>
      <c r="DY66" s="264"/>
      <c r="DZ66" s="264"/>
      <c r="EA66" s="264"/>
      <c r="EB66" s="264"/>
      <c r="EC66" s="264"/>
      <c r="ED66" s="264"/>
      <c r="EE66" s="264"/>
      <c r="EF66" s="264"/>
      <c r="EG66" s="264"/>
      <c r="EH66" s="264"/>
      <c r="EI66" s="264"/>
      <c r="EJ66" s="264"/>
      <c r="EK66" s="264"/>
      <c r="EL66" s="264"/>
      <c r="EM66" s="264"/>
      <c r="EN66" s="264"/>
      <c r="EO66" s="264"/>
      <c r="EP66" s="264"/>
      <c r="EQ66" s="264"/>
      <c r="ER66" s="264"/>
      <c r="ES66" s="264"/>
      <c r="ET66" s="264"/>
      <c r="EU66" s="264"/>
      <c r="EV66" s="264"/>
      <c r="EW66" s="264"/>
      <c r="EX66" s="264"/>
      <c r="EY66" s="264"/>
      <c r="EZ66" s="264"/>
      <c r="FA66" s="264"/>
      <c r="FB66" s="264"/>
      <c r="FC66" s="264"/>
      <c r="FD66" s="264"/>
      <c r="FE66" s="264"/>
      <c r="FF66" s="264"/>
      <c r="FG66" s="264"/>
      <c r="FH66" s="264"/>
      <c r="FI66" s="264"/>
      <c r="FJ66" s="264"/>
      <c r="FK66" s="264"/>
      <c r="FL66" s="264"/>
      <c r="FM66" s="264"/>
      <c r="FN66" s="264"/>
      <c r="FO66" s="264"/>
      <c r="FP66" s="264"/>
      <c r="FQ66" s="264"/>
      <c r="FR66" s="267"/>
      <c r="FS66" s="135"/>
      <c r="FT66" s="135"/>
      <c r="FU66" s="135"/>
      <c r="FV66" s="135"/>
      <c r="FW66" s="135"/>
      <c r="FX66" s="9"/>
      <c r="FY66" s="9"/>
      <c r="FZ66" s="136"/>
      <c r="GA66" s="9"/>
      <c r="GB66" s="9"/>
      <c r="GC66" s="9"/>
    </row>
    <row r="67" spans="6:195" s="58" customFormat="1" ht="12" customHeight="1">
      <c r="F67" s="59"/>
      <c r="G67" s="59"/>
      <c r="H67" s="59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Y67" s="60"/>
      <c r="Z67" s="60"/>
      <c r="AA67" s="167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J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136"/>
    </row>
    <row r="68" spans="6:195" s="58" customFormat="1" ht="12" customHeight="1">
      <c r="I68" s="352"/>
      <c r="J68" s="338" t="s">
        <v>1658</v>
      </c>
      <c r="K68" s="339"/>
      <c r="L68" s="339"/>
      <c r="M68" s="339"/>
      <c r="N68" s="339"/>
      <c r="O68" s="339"/>
      <c r="P68" s="339"/>
      <c r="Q68" s="339"/>
      <c r="R68" s="339"/>
      <c r="S68" s="339"/>
      <c r="T68" s="339"/>
      <c r="U68" s="339"/>
      <c r="V68" s="339"/>
      <c r="W68" s="339"/>
      <c r="X68" s="339"/>
      <c r="Y68" s="339"/>
      <c r="Z68" s="339"/>
      <c r="AA68" s="353"/>
      <c r="AB68" s="339"/>
      <c r="AC68" s="339"/>
    </row>
    <row r="69" spans="6:195" s="58" customFormat="1" ht="12" customHeight="1">
      <c r="I69" s="352"/>
      <c r="J69" s="338" t="s">
        <v>1753</v>
      </c>
      <c r="K69" s="339"/>
      <c r="L69" s="339"/>
      <c r="M69" s="354"/>
      <c r="N69" s="339"/>
      <c r="O69" s="339"/>
      <c r="P69" s="339"/>
      <c r="Q69" s="339"/>
      <c r="R69" s="339"/>
      <c r="S69" s="339"/>
      <c r="T69" s="339"/>
      <c r="U69" s="339"/>
      <c r="V69" s="339"/>
      <c r="W69" s="339"/>
      <c r="X69" s="339"/>
      <c r="Y69" s="339"/>
      <c r="Z69" s="339"/>
      <c r="AA69" s="353"/>
      <c r="AB69" s="339"/>
      <c r="AC69" s="339"/>
    </row>
    <row r="70" spans="6:195" s="58" customFormat="1" ht="12" customHeight="1">
      <c r="I70" s="352"/>
      <c r="J70" s="340" t="s">
        <v>20</v>
      </c>
      <c r="K70" s="339"/>
      <c r="L70" s="339"/>
      <c r="M70" s="354"/>
      <c r="N70" s="339"/>
      <c r="O70" s="339"/>
      <c r="P70" s="339"/>
      <c r="Q70" s="339"/>
      <c r="R70" s="339"/>
      <c r="S70" s="339"/>
      <c r="T70" s="339"/>
      <c r="U70" s="339"/>
      <c r="V70" s="339"/>
      <c r="W70" s="339"/>
      <c r="X70" s="339"/>
      <c r="Y70" s="339"/>
      <c r="Z70" s="339"/>
      <c r="AA70" s="353"/>
      <c r="AB70" s="339"/>
      <c r="AC70" s="339"/>
    </row>
    <row r="71" spans="6:195" s="58" customFormat="1" ht="12" customHeight="1">
      <c r="I71" s="352"/>
      <c r="J71" s="340" t="s">
        <v>1754</v>
      </c>
      <c r="K71" s="339"/>
      <c r="L71" s="339"/>
      <c r="M71" s="354"/>
      <c r="N71" s="339"/>
      <c r="O71" s="339"/>
      <c r="P71" s="339"/>
      <c r="Q71" s="339"/>
      <c r="R71" s="339"/>
      <c r="S71" s="339"/>
      <c r="T71" s="339"/>
      <c r="U71" s="339"/>
      <c r="V71" s="339"/>
      <c r="W71" s="339"/>
      <c r="X71" s="339"/>
      <c r="Y71" s="339"/>
      <c r="Z71" s="339"/>
      <c r="AA71" s="353"/>
      <c r="AB71" s="339"/>
      <c r="AC71" s="339"/>
    </row>
    <row r="72" spans="6:195" s="58" customFormat="1" ht="12" customHeight="1">
      <c r="I72" s="352"/>
      <c r="J72" s="340" t="s">
        <v>1755</v>
      </c>
      <c r="K72" s="339"/>
      <c r="L72" s="339"/>
      <c r="M72" s="354"/>
      <c r="N72" s="339"/>
      <c r="O72" s="339"/>
      <c r="P72" s="339"/>
      <c r="Q72" s="339"/>
      <c r="R72" s="339"/>
      <c r="S72" s="339"/>
      <c r="T72" s="339"/>
      <c r="U72" s="339"/>
      <c r="V72" s="339"/>
      <c r="W72" s="339"/>
      <c r="X72" s="339"/>
      <c r="Y72" s="339"/>
      <c r="Z72" s="339"/>
      <c r="AA72" s="353"/>
      <c r="AB72" s="339"/>
      <c r="AC72" s="339"/>
    </row>
    <row r="73" spans="6:195" s="58" customFormat="1" ht="12" customHeight="1">
      <c r="I73" s="339"/>
      <c r="J73" s="338" t="s">
        <v>25</v>
      </c>
      <c r="K73" s="339"/>
      <c r="L73" s="339"/>
      <c r="M73" s="354"/>
      <c r="N73" s="339"/>
      <c r="O73" s="339"/>
      <c r="P73" s="339"/>
      <c r="Q73" s="339"/>
      <c r="R73" s="339"/>
      <c r="S73" s="339"/>
      <c r="T73" s="339"/>
      <c r="U73" s="339"/>
      <c r="V73" s="339"/>
      <c r="W73" s="339"/>
      <c r="X73" s="339"/>
      <c r="Y73" s="339"/>
      <c r="Z73" s="339"/>
      <c r="AA73" s="353"/>
      <c r="AB73" s="339"/>
      <c r="AC73" s="339"/>
    </row>
    <row r="74" spans="6:195" s="58" customFormat="1" ht="12" customHeight="1"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AA74" s="168"/>
    </row>
    <row r="75" spans="6:195" s="58" customFormat="1" ht="12" customHeight="1">
      <c r="AA75" s="168"/>
    </row>
    <row r="76" spans="6:195" s="58" customFormat="1" ht="12" customHeight="1">
      <c r="AA76" s="168"/>
    </row>
    <row r="77" spans="6:195" s="58" customFormat="1" ht="12" customHeight="1">
      <c r="AA77" s="168"/>
    </row>
    <row r="78" spans="6:195" s="58" customFormat="1" ht="12" customHeight="1">
      <c r="AA78" s="168"/>
    </row>
    <row r="79" spans="6:195" s="58" customFormat="1" ht="12" customHeight="1">
      <c r="AA79" s="168"/>
    </row>
    <row r="80" spans="6:195" s="58" customFormat="1" ht="12" customHeight="1">
      <c r="AA80" s="168"/>
    </row>
    <row r="81" spans="1:28" s="58" customFormat="1" ht="12" customHeight="1">
      <c r="AA81" s="168"/>
    </row>
    <row r="82" spans="1:28" s="58" customFormat="1" ht="12" customHeight="1">
      <c r="AA82" s="168"/>
    </row>
    <row r="83" spans="1:28" s="58" customFormat="1" ht="12" customHeight="1">
      <c r="AA83" s="168"/>
    </row>
    <row r="84" spans="1:28" s="58" customFormat="1" ht="12" customHeight="1">
      <c r="AA84" s="168"/>
    </row>
    <row r="85" spans="1:28" s="58" customFormat="1" ht="12" customHeight="1">
      <c r="AA85" s="168"/>
    </row>
    <row r="86" spans="1:28" s="58" customFormat="1" ht="12" customHeight="1">
      <c r="AA86" s="168"/>
    </row>
    <row r="87" spans="1:28" s="142" customFormat="1" ht="12" customHeight="1">
      <c r="E87" s="58"/>
      <c r="F87" s="58"/>
      <c r="G87" s="58"/>
      <c r="H87" s="58"/>
      <c r="I87" s="58"/>
      <c r="J87" s="58"/>
      <c r="K87" s="58"/>
      <c r="L87" s="58"/>
      <c r="M87" s="58"/>
      <c r="N87" s="58"/>
      <c r="AA87" s="169"/>
      <c r="AB87" s="47"/>
    </row>
    <row r="88" spans="1:28" ht="15" customHeight="1">
      <c r="A88" s="52"/>
      <c r="B88" s="52"/>
      <c r="C88" s="52"/>
      <c r="D88" s="52"/>
      <c r="E88" s="58"/>
      <c r="F88" s="58"/>
      <c r="G88" s="58"/>
      <c r="H88" s="58"/>
      <c r="I88" s="58"/>
      <c r="J88" s="58"/>
      <c r="K88" s="58"/>
      <c r="L88" s="58"/>
      <c r="M88" s="58"/>
      <c r="N88" s="58"/>
    </row>
    <row r="89" spans="1:28" ht="15" customHeight="1">
      <c r="A89" s="52"/>
      <c r="B89" s="52"/>
      <c r="C89" s="52"/>
      <c r="D89" s="52"/>
      <c r="E89" s="58"/>
      <c r="F89" s="58"/>
      <c r="G89" s="58"/>
      <c r="H89" s="58"/>
      <c r="I89" s="58"/>
      <c r="J89" s="58"/>
      <c r="K89" s="58"/>
      <c r="L89" s="58"/>
      <c r="M89" s="58"/>
      <c r="N89" s="58"/>
    </row>
    <row r="90" spans="1:28" ht="15" customHeight="1">
      <c r="A90" s="52"/>
      <c r="B90" s="52"/>
      <c r="C90" s="52"/>
      <c r="D90" s="52"/>
      <c r="E90" s="58"/>
      <c r="F90" s="58"/>
      <c r="G90" s="58"/>
      <c r="H90" s="58"/>
      <c r="I90" s="58"/>
      <c r="J90" s="58"/>
      <c r="K90" s="58"/>
      <c r="L90" s="58"/>
      <c r="M90" s="58"/>
      <c r="N90" s="58"/>
    </row>
    <row r="91" spans="1:28" ht="15" customHeight="1">
      <c r="A91" s="52"/>
      <c r="B91" s="52"/>
      <c r="C91" s="52"/>
      <c r="D91" s="52"/>
      <c r="E91" s="58"/>
      <c r="F91" s="58"/>
      <c r="G91" s="58"/>
      <c r="H91" s="58"/>
      <c r="I91" s="58"/>
      <c r="J91" s="58"/>
      <c r="K91" s="58"/>
      <c r="L91" s="58"/>
      <c r="M91" s="58"/>
      <c r="N91" s="58"/>
    </row>
    <row r="92" spans="1:28" ht="15" customHeight="1">
      <c r="A92" s="52"/>
      <c r="B92" s="52"/>
      <c r="C92" s="52"/>
      <c r="D92" s="52"/>
      <c r="E92" s="58"/>
      <c r="F92" s="58"/>
      <c r="G92" s="58"/>
      <c r="H92" s="58"/>
      <c r="I92" s="58"/>
      <c r="J92" s="58"/>
      <c r="K92" s="58"/>
      <c r="L92" s="58"/>
      <c r="M92" s="58"/>
      <c r="N92" s="58"/>
    </row>
    <row r="93" spans="1:28" ht="15" customHeight="1">
      <c r="A93" s="52"/>
      <c r="B93" s="52"/>
      <c r="C93" s="52"/>
      <c r="D93" s="52"/>
      <c r="E93" s="58"/>
      <c r="F93" s="58"/>
      <c r="G93" s="58"/>
      <c r="H93" s="58"/>
      <c r="I93" s="58"/>
      <c r="J93" s="58"/>
      <c r="K93" s="58"/>
      <c r="L93" s="58"/>
      <c r="M93" s="58"/>
      <c r="N93" s="58"/>
    </row>
    <row r="94" spans="1:28" ht="15" customHeight="1">
      <c r="A94" s="52"/>
      <c r="B94" s="52"/>
      <c r="C94" s="52"/>
      <c r="D94" s="52"/>
      <c r="E94" s="58"/>
      <c r="F94" s="58"/>
      <c r="G94" s="58"/>
      <c r="H94" s="58"/>
      <c r="I94" s="58"/>
      <c r="J94" s="58"/>
      <c r="K94" s="58"/>
      <c r="L94" s="58"/>
      <c r="M94" s="58"/>
      <c r="N94" s="58"/>
    </row>
    <row r="95" spans="1:28" ht="15" customHeight="1">
      <c r="A95" s="52"/>
      <c r="B95" s="52"/>
      <c r="C95" s="52"/>
      <c r="D95" s="52"/>
      <c r="E95" s="58"/>
      <c r="F95" s="58"/>
      <c r="G95" s="58"/>
      <c r="H95" s="58"/>
      <c r="I95" s="58"/>
      <c r="J95" s="58"/>
      <c r="K95" s="58"/>
      <c r="L95" s="58"/>
      <c r="M95" s="58"/>
      <c r="N95" s="58"/>
    </row>
    <row r="96" spans="1:28" ht="15" customHeight="1">
      <c r="A96" s="52"/>
      <c r="B96" s="52"/>
      <c r="C96" s="52"/>
      <c r="D96" s="52"/>
      <c r="E96" s="58"/>
      <c r="F96" s="58"/>
      <c r="G96" s="58"/>
      <c r="H96" s="58"/>
      <c r="I96" s="58"/>
      <c r="J96" s="58"/>
      <c r="K96" s="58"/>
      <c r="L96" s="58"/>
      <c r="M96" s="58"/>
      <c r="N96" s="58"/>
    </row>
    <row r="97" spans="1:27" ht="15" customHeight="1">
      <c r="A97" s="52"/>
      <c r="B97" s="52"/>
      <c r="C97" s="52"/>
      <c r="D97" s="52"/>
      <c r="E97" s="58"/>
      <c r="F97" s="58"/>
      <c r="G97" s="58"/>
      <c r="H97" s="58"/>
      <c r="I97" s="58"/>
      <c r="J97" s="58"/>
      <c r="K97" s="58"/>
      <c r="L97" s="58"/>
      <c r="M97" s="58"/>
      <c r="N97" s="58"/>
    </row>
    <row r="98" spans="1:27" ht="15" customHeight="1">
      <c r="A98" s="52"/>
      <c r="B98" s="52"/>
      <c r="C98" s="52"/>
      <c r="D98" s="52"/>
      <c r="E98" s="58"/>
      <c r="F98" s="58"/>
      <c r="G98" s="58"/>
      <c r="H98" s="58"/>
      <c r="I98" s="58"/>
      <c r="J98" s="58"/>
      <c r="K98" s="58"/>
      <c r="L98" s="58"/>
      <c r="M98" s="58"/>
      <c r="N98" s="58"/>
    </row>
    <row r="99" spans="1:27" ht="15" customHeight="1">
      <c r="A99" s="52"/>
      <c r="B99" s="52"/>
      <c r="C99" s="52"/>
      <c r="D99" s="52"/>
      <c r="E99" s="58"/>
      <c r="F99" s="58"/>
      <c r="G99" s="58"/>
      <c r="H99" s="58"/>
      <c r="I99" s="58"/>
      <c r="J99" s="58"/>
      <c r="K99" s="58"/>
      <c r="L99" s="58"/>
      <c r="M99" s="58"/>
      <c r="N99" s="58"/>
    </row>
    <row r="100" spans="1:27" ht="15" customHeight="1">
      <c r="A100" s="52"/>
      <c r="B100" s="52"/>
      <c r="C100" s="52"/>
      <c r="D100" s="52"/>
      <c r="E100" s="58"/>
      <c r="F100" s="58"/>
      <c r="G100" s="58"/>
      <c r="H100" s="58"/>
      <c r="I100" s="58"/>
      <c r="J100" s="58"/>
      <c r="K100" s="58"/>
      <c r="L100" s="58"/>
      <c r="M100" s="58"/>
      <c r="N100" s="58"/>
    </row>
    <row r="101" spans="1:27" ht="15" customHeight="1">
      <c r="A101" s="52"/>
      <c r="B101" s="52"/>
      <c r="C101" s="52"/>
      <c r="D101" s="52"/>
      <c r="E101" s="58"/>
      <c r="F101" s="58"/>
      <c r="G101" s="58"/>
      <c r="H101" s="58"/>
      <c r="I101" s="58"/>
      <c r="J101" s="58"/>
      <c r="K101" s="58"/>
      <c r="L101" s="58"/>
      <c r="M101" s="58"/>
      <c r="N101" s="58"/>
    </row>
    <row r="102" spans="1:27" ht="15" customHeight="1">
      <c r="A102" s="52"/>
      <c r="B102" s="52"/>
      <c r="C102" s="52"/>
      <c r="D102" s="52"/>
      <c r="E102" s="58"/>
      <c r="F102" s="58"/>
      <c r="G102" s="58"/>
      <c r="H102" s="58"/>
      <c r="I102" s="58"/>
      <c r="J102" s="58"/>
      <c r="K102" s="58"/>
      <c r="L102" s="58"/>
      <c r="M102" s="58"/>
      <c r="N102" s="58"/>
    </row>
    <row r="103" spans="1:27" ht="15" customHeight="1">
      <c r="A103" s="52"/>
      <c r="B103" s="52"/>
      <c r="C103" s="52"/>
      <c r="D103" s="52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AA103" s="47"/>
    </row>
    <row r="104" spans="1:27" ht="15" customHeight="1">
      <c r="A104" s="52"/>
      <c r="B104" s="52"/>
      <c r="C104" s="52"/>
      <c r="D104" s="52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AA104" s="47"/>
    </row>
    <row r="105" spans="1:27" ht="15" customHeight="1">
      <c r="A105" s="52"/>
      <c r="B105" s="52"/>
      <c r="C105" s="52"/>
      <c r="D105" s="52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AA105" s="47"/>
    </row>
    <row r="106" spans="1:27" ht="15" customHeight="1">
      <c r="A106" s="52"/>
      <c r="B106" s="52"/>
      <c r="C106" s="52"/>
      <c r="D106" s="52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AA106" s="47"/>
    </row>
    <row r="107" spans="1:27" ht="15" customHeight="1">
      <c r="A107" s="52"/>
      <c r="B107" s="52"/>
      <c r="C107" s="52"/>
      <c r="D107" s="52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AA107" s="47"/>
    </row>
    <row r="108" spans="1:27" ht="15" customHeight="1">
      <c r="A108" s="52"/>
      <c r="B108" s="52"/>
      <c r="C108" s="52"/>
      <c r="D108" s="52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AA108" s="47"/>
    </row>
    <row r="109" spans="1:27" ht="15" customHeight="1">
      <c r="A109" s="52"/>
      <c r="B109" s="52"/>
      <c r="C109" s="52"/>
      <c r="D109" s="52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AA109" s="47"/>
    </row>
    <row r="110" spans="1:27" ht="15" customHeight="1">
      <c r="A110" s="52"/>
      <c r="B110" s="52"/>
      <c r="C110" s="52"/>
      <c r="D110" s="52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AA110" s="47"/>
    </row>
    <row r="111" spans="1:27" ht="24" customHeight="1">
      <c r="A111" s="52"/>
      <c r="B111" s="52"/>
      <c r="C111" s="52"/>
      <c r="D111" s="52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AA111" s="47"/>
    </row>
    <row r="112" spans="1:27" ht="15" customHeight="1">
      <c r="A112" s="52"/>
      <c r="B112" s="52"/>
      <c r="C112" s="52"/>
      <c r="D112" s="52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AA112" s="47"/>
    </row>
    <row r="113" spans="1:27" ht="15" customHeight="1">
      <c r="A113" s="52"/>
      <c r="B113" s="52"/>
      <c r="C113" s="52"/>
      <c r="D113" s="52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AA113" s="47"/>
    </row>
    <row r="114" spans="1:27" ht="15" customHeight="1">
      <c r="A114" s="52"/>
      <c r="B114" s="52"/>
      <c r="C114" s="52"/>
      <c r="D114" s="52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AA114" s="47"/>
    </row>
    <row r="115" spans="1:27" ht="15" customHeight="1">
      <c r="A115" s="52"/>
      <c r="B115" s="52"/>
      <c r="C115" s="52"/>
      <c r="D115" s="52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AA115" s="47"/>
    </row>
    <row r="116" spans="1:27" ht="15" customHeight="1">
      <c r="A116" s="52"/>
      <c r="B116" s="52"/>
      <c r="C116" s="52"/>
      <c r="D116" s="52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AA116" s="47"/>
    </row>
    <row r="117" spans="1:27" ht="15" customHeight="1">
      <c r="A117" s="52"/>
      <c r="B117" s="52"/>
      <c r="C117" s="52"/>
      <c r="D117" s="52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AA117" s="47"/>
    </row>
    <row r="118" spans="1:27" ht="15" customHeight="1">
      <c r="A118" s="52"/>
      <c r="B118" s="52"/>
      <c r="C118" s="52"/>
      <c r="D118" s="52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AA118" s="47"/>
    </row>
    <row r="119" spans="1:27" ht="15" customHeight="1">
      <c r="A119" s="52"/>
      <c r="B119" s="52"/>
      <c r="C119" s="52"/>
      <c r="D119" s="52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AA119" s="47"/>
    </row>
    <row r="120" spans="1:27" ht="24" customHeight="1">
      <c r="A120" s="52"/>
      <c r="B120" s="52"/>
      <c r="C120" s="52"/>
      <c r="D120" s="52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AA120" s="47"/>
    </row>
    <row r="121" spans="1:27" ht="24" customHeight="1">
      <c r="A121" s="52"/>
      <c r="B121" s="52"/>
      <c r="C121" s="52"/>
      <c r="D121" s="52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AA121" s="47"/>
    </row>
    <row r="122" spans="1:27" ht="24" customHeight="1">
      <c r="A122" s="52"/>
      <c r="B122" s="52"/>
      <c r="C122" s="52"/>
      <c r="D122" s="52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AA122" s="47"/>
    </row>
    <row r="123" spans="1:27" ht="15" customHeight="1">
      <c r="A123" s="52"/>
      <c r="B123" s="52"/>
      <c r="C123" s="52"/>
      <c r="D123" s="52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AA123" s="47"/>
    </row>
    <row r="124" spans="1:27" ht="15" customHeight="1">
      <c r="A124" s="52"/>
      <c r="B124" s="52"/>
      <c r="C124" s="52"/>
      <c r="D124" s="52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AA124" s="47"/>
    </row>
    <row r="125" spans="1:27" ht="15" customHeight="1">
      <c r="A125" s="52"/>
      <c r="B125" s="52"/>
      <c r="C125" s="52"/>
      <c r="D125" s="52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AA125" s="47"/>
    </row>
    <row r="126" spans="1:27" ht="15" customHeight="1">
      <c r="A126" s="52"/>
      <c r="B126" s="52"/>
      <c r="C126" s="52"/>
      <c r="D126" s="52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AA126" s="47"/>
    </row>
    <row r="127" spans="1:27" ht="15" customHeight="1">
      <c r="A127" s="52"/>
      <c r="B127" s="52"/>
      <c r="C127" s="52"/>
      <c r="D127" s="52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AA127" s="47"/>
    </row>
    <row r="128" spans="1:27" ht="15" customHeight="1">
      <c r="A128" s="52"/>
      <c r="B128" s="52"/>
      <c r="C128" s="52"/>
      <c r="D128" s="52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AA128" s="47"/>
    </row>
    <row r="129" spans="1:27" ht="15" customHeight="1">
      <c r="A129" s="52"/>
      <c r="B129" s="52"/>
      <c r="C129" s="52"/>
      <c r="D129" s="52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AA129" s="47"/>
    </row>
    <row r="130" spans="1:27" ht="15" customHeight="1">
      <c r="A130" s="52"/>
      <c r="B130" s="52"/>
      <c r="C130" s="52"/>
      <c r="D130" s="52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AA130" s="47"/>
    </row>
    <row r="131" spans="1:27" ht="15" customHeight="1">
      <c r="A131" s="52"/>
      <c r="B131" s="52"/>
      <c r="C131" s="52"/>
      <c r="D131" s="52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AA131" s="47"/>
    </row>
    <row r="132" spans="1:27" ht="15" customHeight="1">
      <c r="A132" s="52"/>
      <c r="B132" s="52"/>
      <c r="C132" s="52"/>
      <c r="D132" s="52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AA132" s="47"/>
    </row>
    <row r="133" spans="1:27" ht="15" customHeight="1">
      <c r="A133" s="52"/>
      <c r="B133" s="52"/>
      <c r="C133" s="52"/>
      <c r="D133" s="52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AA133" s="47"/>
    </row>
    <row r="134" spans="1:27" ht="15" customHeight="1">
      <c r="A134" s="52"/>
      <c r="B134" s="52"/>
      <c r="C134" s="52"/>
      <c r="D134" s="52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AA134" s="47"/>
    </row>
    <row r="135" spans="1:27" ht="15" customHeight="1">
      <c r="A135" s="52"/>
      <c r="B135" s="52"/>
      <c r="C135" s="52"/>
      <c r="D135" s="52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AA135" s="47"/>
    </row>
    <row r="136" spans="1:27" ht="15" customHeight="1">
      <c r="A136" s="52"/>
      <c r="B136" s="52"/>
      <c r="C136" s="52"/>
      <c r="D136" s="52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AA136" s="47"/>
    </row>
    <row r="137" spans="1:27" ht="15" customHeight="1">
      <c r="A137" s="52"/>
      <c r="B137" s="52"/>
      <c r="C137" s="52"/>
      <c r="D137" s="52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AA137" s="47"/>
    </row>
    <row r="138" spans="1:27" ht="15" customHeight="1">
      <c r="A138" s="52"/>
      <c r="B138" s="52"/>
      <c r="C138" s="52"/>
      <c r="D138" s="52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AA138" s="47"/>
    </row>
    <row r="139" spans="1:27" ht="15" customHeight="1">
      <c r="A139" s="52"/>
      <c r="B139" s="52"/>
      <c r="C139" s="52"/>
      <c r="D139" s="52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AA139" s="47"/>
    </row>
    <row r="140" spans="1:27" ht="15" customHeight="1">
      <c r="A140" s="52"/>
      <c r="B140" s="52"/>
      <c r="C140" s="52"/>
      <c r="D140" s="52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AA140" s="47"/>
    </row>
    <row r="141" spans="1:27" ht="15" customHeight="1">
      <c r="A141" s="52"/>
      <c r="B141" s="52"/>
      <c r="C141" s="52"/>
      <c r="D141" s="52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AA141" s="47"/>
    </row>
    <row r="142" spans="1:27" ht="15" customHeight="1">
      <c r="A142" s="52"/>
      <c r="B142" s="52"/>
      <c r="C142" s="52"/>
      <c r="D142" s="52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AA142" s="47"/>
    </row>
    <row r="143" spans="1:27" ht="24" customHeight="1">
      <c r="A143" s="52"/>
      <c r="B143" s="52"/>
      <c r="C143" s="52"/>
      <c r="D143" s="52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AA143" s="47"/>
    </row>
    <row r="144" spans="1:27" ht="15" customHeight="1">
      <c r="A144" s="52"/>
      <c r="B144" s="52"/>
      <c r="C144" s="52"/>
      <c r="D144" s="52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AA144" s="47"/>
    </row>
    <row r="145" spans="1:27" ht="15" customHeight="1">
      <c r="A145" s="52"/>
      <c r="B145" s="52"/>
      <c r="C145" s="52"/>
      <c r="D145" s="52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AA145" s="47"/>
    </row>
    <row r="146" spans="1:27" ht="15" customHeight="1">
      <c r="A146" s="52"/>
      <c r="B146" s="52"/>
      <c r="C146" s="52"/>
      <c r="D146" s="52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AA146" s="47"/>
    </row>
    <row r="147" spans="1:27" ht="15" customHeight="1">
      <c r="A147" s="52"/>
      <c r="B147" s="52"/>
      <c r="C147" s="52"/>
      <c r="D147" s="52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AA147" s="47"/>
    </row>
    <row r="148" spans="1:27" ht="15" customHeight="1">
      <c r="A148" s="52"/>
      <c r="B148" s="52"/>
      <c r="C148" s="52"/>
      <c r="D148" s="52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AA148" s="47"/>
    </row>
    <row r="149" spans="1:27" ht="15" customHeight="1">
      <c r="A149" s="52"/>
      <c r="B149" s="52"/>
      <c r="C149" s="52"/>
      <c r="D149" s="52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AA149" s="47"/>
    </row>
    <row r="150" spans="1:27" ht="15" customHeight="1">
      <c r="A150" s="52"/>
      <c r="B150" s="52"/>
      <c r="C150" s="52"/>
      <c r="D150" s="52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AA150" s="47"/>
    </row>
    <row r="151" spans="1:27" ht="15" customHeight="1">
      <c r="A151" s="52"/>
      <c r="B151" s="52"/>
      <c r="C151" s="52"/>
      <c r="D151" s="52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AA151" s="47"/>
    </row>
    <row r="152" spans="1:27" ht="24" customHeight="1">
      <c r="A152" s="52"/>
      <c r="B152" s="52"/>
      <c r="C152" s="52"/>
      <c r="D152" s="52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AA152" s="47"/>
    </row>
    <row r="153" spans="1:27" ht="24" customHeight="1">
      <c r="A153" s="52"/>
      <c r="B153" s="52"/>
      <c r="C153" s="52"/>
      <c r="D153" s="52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AA153" s="47"/>
    </row>
    <row r="154" spans="1:27" ht="24" customHeight="1">
      <c r="A154" s="52"/>
      <c r="B154" s="52"/>
      <c r="C154" s="52"/>
      <c r="D154" s="52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AA154" s="47"/>
    </row>
    <row r="155" spans="1:27" ht="15" customHeight="1">
      <c r="A155" s="52"/>
      <c r="B155" s="52"/>
      <c r="C155" s="52"/>
      <c r="D155" s="52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AA155" s="47"/>
    </row>
    <row r="156" spans="1:27" ht="15" customHeight="1">
      <c r="A156" s="52"/>
      <c r="B156" s="52"/>
      <c r="C156" s="52"/>
      <c r="D156" s="52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AA156" s="47"/>
    </row>
    <row r="157" spans="1:27" ht="15" customHeight="1">
      <c r="A157" s="52"/>
      <c r="B157" s="52"/>
      <c r="C157" s="52"/>
      <c r="D157" s="52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AA157" s="47"/>
    </row>
    <row r="158" spans="1:27" ht="15" customHeight="1">
      <c r="A158" s="52"/>
      <c r="B158" s="52"/>
      <c r="C158" s="52"/>
      <c r="D158" s="52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AA158" s="47"/>
    </row>
    <row r="159" spans="1:27" ht="15" customHeight="1">
      <c r="A159" s="52"/>
      <c r="B159" s="52"/>
      <c r="C159" s="52"/>
      <c r="D159" s="52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AA159" s="47"/>
    </row>
    <row r="160" spans="1:27" ht="15" customHeight="1">
      <c r="A160" s="52"/>
      <c r="B160" s="52"/>
      <c r="C160" s="52"/>
      <c r="D160" s="52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AA160" s="47"/>
    </row>
    <row r="161" spans="1:27" ht="15" customHeight="1">
      <c r="A161" s="52"/>
      <c r="B161" s="52"/>
      <c r="C161" s="52"/>
      <c r="D161" s="52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AA161" s="47"/>
    </row>
    <row r="162" spans="1:27" ht="15" customHeight="1">
      <c r="A162" s="52"/>
      <c r="B162" s="52"/>
      <c r="C162" s="52"/>
      <c r="D162" s="52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AA162" s="47"/>
    </row>
    <row r="163" spans="1:27" ht="15" customHeight="1">
      <c r="A163" s="52"/>
      <c r="B163" s="52"/>
      <c r="C163" s="52"/>
      <c r="D163" s="52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AA163" s="47"/>
    </row>
    <row r="164" spans="1:27" ht="15" customHeight="1">
      <c r="A164" s="52"/>
      <c r="B164" s="52"/>
      <c r="C164" s="52"/>
      <c r="D164" s="52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AA164" s="47"/>
    </row>
    <row r="165" spans="1:27" ht="15" customHeight="1">
      <c r="A165" s="52"/>
      <c r="B165" s="52"/>
      <c r="C165" s="52"/>
      <c r="D165" s="52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AA165" s="47"/>
    </row>
    <row r="166" spans="1:27" ht="15" customHeight="1">
      <c r="A166" s="52"/>
      <c r="B166" s="52"/>
      <c r="C166" s="52"/>
      <c r="D166" s="52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AA166" s="47"/>
    </row>
    <row r="167" spans="1:27" ht="15" customHeight="1">
      <c r="A167" s="52"/>
      <c r="B167" s="52"/>
      <c r="C167" s="52"/>
      <c r="D167" s="52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AA167" s="47"/>
    </row>
    <row r="168" spans="1:27" ht="15" customHeight="1">
      <c r="A168" s="52"/>
      <c r="B168" s="52"/>
      <c r="C168" s="52"/>
      <c r="D168" s="52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AA168" s="47"/>
    </row>
    <row r="169" spans="1:27" ht="15" customHeight="1">
      <c r="A169" s="52"/>
      <c r="B169" s="52"/>
      <c r="C169" s="52"/>
      <c r="D169" s="52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AA169" s="47"/>
    </row>
    <row r="170" spans="1:27" ht="15" customHeight="1">
      <c r="A170" s="52"/>
      <c r="B170" s="52"/>
      <c r="C170" s="52"/>
      <c r="D170" s="52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AA170" s="47"/>
    </row>
    <row r="171" spans="1:27" ht="15" customHeight="1">
      <c r="A171" s="52"/>
      <c r="B171" s="52"/>
      <c r="C171" s="52"/>
      <c r="D171" s="52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AA171" s="47"/>
    </row>
    <row r="172" spans="1:27" ht="15" customHeight="1">
      <c r="A172" s="52"/>
      <c r="B172" s="52"/>
      <c r="C172" s="52"/>
      <c r="D172" s="52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AA172" s="47"/>
    </row>
    <row r="173" spans="1:27" ht="15" customHeight="1">
      <c r="A173" s="52"/>
      <c r="B173" s="52"/>
      <c r="C173" s="52"/>
      <c r="D173" s="52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AA173" s="47"/>
    </row>
    <row r="174" spans="1:27" ht="15" customHeight="1">
      <c r="A174" s="52"/>
      <c r="B174" s="52"/>
      <c r="C174" s="52"/>
      <c r="D174" s="52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AA174" s="47"/>
    </row>
    <row r="175" spans="1:27" ht="15" customHeight="1">
      <c r="A175" s="52"/>
      <c r="B175" s="52"/>
      <c r="C175" s="52"/>
      <c r="D175" s="52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AA175" s="47"/>
    </row>
    <row r="176" spans="1:27" ht="15" customHeight="1">
      <c r="A176" s="52"/>
      <c r="B176" s="52"/>
      <c r="C176" s="52"/>
      <c r="D176" s="52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AA176" s="47"/>
    </row>
    <row r="177" spans="1:27" ht="15" customHeight="1">
      <c r="A177" s="52"/>
      <c r="B177" s="52"/>
      <c r="C177" s="52"/>
      <c r="D177" s="52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AA177" s="47"/>
    </row>
    <row r="178" spans="1:27" ht="15" customHeight="1">
      <c r="A178" s="52"/>
      <c r="B178" s="52"/>
      <c r="C178" s="52"/>
      <c r="D178" s="52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AA178" s="47"/>
    </row>
    <row r="179" spans="1:27" ht="15" customHeight="1">
      <c r="A179" s="52"/>
      <c r="B179" s="52"/>
      <c r="C179" s="52"/>
      <c r="D179" s="52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AA179" s="47"/>
    </row>
    <row r="180" spans="1:27" ht="15" customHeight="1">
      <c r="A180" s="52"/>
      <c r="B180" s="52"/>
      <c r="C180" s="52"/>
      <c r="D180" s="52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AA180" s="47"/>
    </row>
    <row r="181" spans="1:27" ht="15" customHeight="1">
      <c r="A181" s="52"/>
      <c r="B181" s="52"/>
      <c r="C181" s="52"/>
      <c r="D181" s="52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AA181" s="47"/>
    </row>
    <row r="182" spans="1:27" ht="15" customHeight="1">
      <c r="A182" s="52"/>
      <c r="B182" s="52"/>
      <c r="C182" s="52"/>
      <c r="D182" s="52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AA182" s="47"/>
    </row>
    <row r="183" spans="1:27" ht="15" customHeight="1">
      <c r="A183" s="52"/>
      <c r="B183" s="52"/>
      <c r="C183" s="52"/>
      <c r="D183" s="52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AA183" s="47"/>
    </row>
    <row r="184" spans="1:27" ht="15" customHeight="1">
      <c r="A184" s="52"/>
      <c r="B184" s="52"/>
      <c r="C184" s="52"/>
      <c r="D184" s="52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AA184" s="47"/>
    </row>
    <row r="185" spans="1:27" ht="15" customHeight="1">
      <c r="A185" s="52"/>
      <c r="B185" s="52"/>
      <c r="C185" s="52"/>
      <c r="D185" s="52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AA185" s="47"/>
    </row>
    <row r="186" spans="1:27" ht="15" customHeight="1">
      <c r="A186" s="52"/>
      <c r="B186" s="52"/>
      <c r="C186" s="52"/>
      <c r="D186" s="52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AA186" s="47"/>
    </row>
    <row r="187" spans="1:27" ht="15" customHeight="1">
      <c r="A187" s="52"/>
      <c r="B187" s="52"/>
      <c r="C187" s="52"/>
      <c r="D187" s="52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AA187" s="47"/>
    </row>
    <row r="188" spans="1:27" ht="15" customHeight="1">
      <c r="A188" s="52"/>
      <c r="B188" s="52"/>
      <c r="C188" s="52"/>
      <c r="D188" s="52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AA188" s="47"/>
    </row>
    <row r="189" spans="1:27" ht="15" customHeight="1">
      <c r="A189" s="52"/>
      <c r="B189" s="52"/>
      <c r="C189" s="52"/>
      <c r="D189" s="52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AA189" s="47"/>
    </row>
    <row r="190" spans="1:27" ht="15" customHeight="1">
      <c r="A190" s="52"/>
      <c r="B190" s="52"/>
      <c r="C190" s="52"/>
      <c r="D190" s="52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AA190" s="47"/>
    </row>
    <row r="191" spans="1:27" ht="15" customHeight="1">
      <c r="A191" s="52"/>
      <c r="B191" s="52"/>
      <c r="C191" s="52"/>
      <c r="D191" s="52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AA191" s="47"/>
    </row>
    <row r="192" spans="1:27" ht="15" customHeight="1">
      <c r="A192" s="52"/>
      <c r="B192" s="52"/>
      <c r="C192" s="52"/>
      <c r="D192" s="52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AA192" s="47"/>
    </row>
    <row r="193" spans="1:27" ht="15" customHeight="1">
      <c r="A193" s="52"/>
      <c r="B193" s="52"/>
      <c r="C193" s="52"/>
      <c r="D193" s="52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AA193" s="47"/>
    </row>
    <row r="194" spans="1:27" ht="15" customHeight="1">
      <c r="A194" s="52"/>
      <c r="B194" s="52"/>
      <c r="C194" s="52"/>
      <c r="D194" s="52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AA194" s="47"/>
    </row>
    <row r="195" spans="1:27" ht="15" customHeight="1">
      <c r="A195" s="52"/>
      <c r="B195" s="52"/>
      <c r="C195" s="52"/>
      <c r="D195" s="52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AA195" s="47"/>
    </row>
    <row r="196" spans="1:27" ht="15" customHeight="1">
      <c r="A196" s="52"/>
      <c r="B196" s="52"/>
      <c r="C196" s="52"/>
      <c r="D196" s="52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AA196" s="47"/>
    </row>
    <row r="197" spans="1:27" ht="15" customHeight="1">
      <c r="A197" s="52"/>
      <c r="B197" s="52"/>
      <c r="C197" s="52"/>
      <c r="D197" s="52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AA197" s="47"/>
    </row>
    <row r="198" spans="1:27" ht="15" customHeight="1">
      <c r="A198" s="52"/>
      <c r="B198" s="52"/>
      <c r="C198" s="52"/>
      <c r="D198" s="52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AA198" s="47"/>
    </row>
    <row r="199" spans="1:27" ht="15" customHeight="1">
      <c r="A199" s="52"/>
      <c r="B199" s="52"/>
      <c r="C199" s="52"/>
      <c r="D199" s="52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AA199" s="47"/>
    </row>
    <row r="200" spans="1:27" ht="15" customHeight="1">
      <c r="A200" s="52"/>
      <c r="B200" s="52"/>
      <c r="C200" s="52"/>
      <c r="D200" s="52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AA200" s="47"/>
    </row>
    <row r="201" spans="1:27" ht="15" customHeight="1">
      <c r="A201" s="52"/>
      <c r="B201" s="52"/>
      <c r="C201" s="52"/>
      <c r="D201" s="52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AA201" s="47"/>
    </row>
    <row r="202" spans="1:27" ht="15" customHeight="1">
      <c r="A202" s="52"/>
      <c r="B202" s="52"/>
      <c r="C202" s="52"/>
      <c r="D202" s="52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AA202" s="47"/>
    </row>
    <row r="203" spans="1:27" ht="15" customHeight="1">
      <c r="A203" s="52"/>
      <c r="B203" s="52"/>
      <c r="C203" s="52"/>
      <c r="D203" s="52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AA203" s="47"/>
    </row>
    <row r="204" spans="1:27" ht="15" customHeight="1">
      <c r="A204" s="52"/>
      <c r="B204" s="52"/>
      <c r="C204" s="52"/>
      <c r="D204" s="52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AA204" s="47"/>
    </row>
    <row r="205" spans="1:27" ht="15" customHeight="1">
      <c r="A205" s="52"/>
      <c r="B205" s="52"/>
      <c r="C205" s="52"/>
      <c r="D205" s="52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AA205" s="47"/>
    </row>
    <row r="206" spans="1:27" ht="15" customHeight="1">
      <c r="A206" s="52"/>
      <c r="B206" s="52"/>
      <c r="C206" s="52"/>
      <c r="D206" s="52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AA206" s="47"/>
    </row>
    <row r="207" spans="1:27" ht="15" customHeight="1">
      <c r="A207" s="52"/>
      <c r="B207" s="52"/>
      <c r="C207" s="52"/>
      <c r="D207" s="52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AA207" s="47"/>
    </row>
    <row r="208" spans="1:27" ht="15" customHeight="1">
      <c r="A208" s="52"/>
      <c r="B208" s="52"/>
      <c r="C208" s="52"/>
      <c r="D208" s="52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AA208" s="47"/>
    </row>
    <row r="209" spans="1:27" ht="15" customHeight="1">
      <c r="A209" s="52"/>
      <c r="B209" s="52"/>
      <c r="C209" s="52"/>
      <c r="D209" s="52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AA209" s="47"/>
    </row>
    <row r="210" spans="1:27" ht="15" customHeight="1">
      <c r="A210" s="52"/>
      <c r="B210" s="52"/>
      <c r="C210" s="52"/>
      <c r="D210" s="52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AA210" s="47"/>
    </row>
    <row r="211" spans="1:27" ht="15" customHeight="1">
      <c r="A211" s="52"/>
      <c r="B211" s="52"/>
      <c r="C211" s="52"/>
      <c r="D211" s="52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AA211" s="47"/>
    </row>
    <row r="212" spans="1:27" ht="15" customHeight="1">
      <c r="A212" s="52"/>
      <c r="B212" s="52"/>
      <c r="C212" s="52"/>
      <c r="D212" s="52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AA212" s="47"/>
    </row>
    <row r="213" spans="1:27" ht="15" customHeight="1">
      <c r="A213" s="52"/>
      <c r="B213" s="52"/>
      <c r="C213" s="52"/>
      <c r="D213" s="52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AA213" s="47"/>
    </row>
    <row r="214" spans="1:27" ht="15" customHeight="1">
      <c r="A214" s="52"/>
      <c r="B214" s="52"/>
      <c r="C214" s="52"/>
      <c r="D214" s="52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AA214" s="47"/>
    </row>
    <row r="215" spans="1:27" ht="15" customHeight="1">
      <c r="A215" s="52"/>
      <c r="B215" s="52"/>
      <c r="C215" s="52"/>
      <c r="D215" s="52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AA215" s="47"/>
    </row>
    <row r="216" spans="1:27" ht="15" customHeight="1">
      <c r="A216" s="52"/>
      <c r="B216" s="52"/>
      <c r="C216" s="52"/>
      <c r="D216" s="52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AA216" s="47"/>
    </row>
    <row r="217" spans="1:27" ht="15" customHeight="1">
      <c r="A217" s="52"/>
      <c r="B217" s="52"/>
      <c r="C217" s="52"/>
      <c r="D217" s="52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AA217" s="47"/>
    </row>
    <row r="218" spans="1:27" ht="15" customHeight="1">
      <c r="A218" s="52"/>
      <c r="B218" s="52"/>
      <c r="C218" s="52"/>
      <c r="D218" s="52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AA218" s="47"/>
    </row>
    <row r="219" spans="1:27" ht="15" customHeight="1">
      <c r="A219" s="52"/>
      <c r="B219" s="52"/>
      <c r="C219" s="52"/>
      <c r="D219" s="52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AA219" s="47"/>
    </row>
    <row r="220" spans="1:27" ht="15" customHeight="1">
      <c r="A220" s="52"/>
      <c r="B220" s="52"/>
      <c r="C220" s="52"/>
      <c r="D220" s="52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AA220" s="47"/>
    </row>
    <row r="221" spans="1:27" ht="15" customHeight="1">
      <c r="A221" s="52"/>
      <c r="B221" s="52"/>
      <c r="C221" s="52"/>
      <c r="D221" s="52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AA221" s="47"/>
    </row>
    <row r="222" spans="1:27" ht="15" customHeight="1">
      <c r="A222" s="52"/>
      <c r="B222" s="52"/>
      <c r="C222" s="52"/>
      <c r="D222" s="52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AA222" s="47"/>
    </row>
    <row r="223" spans="1:27" ht="15" customHeight="1">
      <c r="A223" s="52"/>
      <c r="B223" s="52"/>
      <c r="C223" s="52"/>
      <c r="D223" s="52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AA223" s="47"/>
    </row>
    <row r="224" spans="1:27" ht="15" customHeight="1">
      <c r="A224" s="52"/>
      <c r="B224" s="52"/>
      <c r="C224" s="52"/>
      <c r="D224" s="52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AA224" s="47"/>
    </row>
    <row r="225" spans="1:27" ht="15" customHeight="1">
      <c r="A225" s="52"/>
      <c r="B225" s="52"/>
      <c r="C225" s="52"/>
      <c r="D225" s="52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AA225" s="47"/>
    </row>
    <row r="226" spans="1:27" ht="15" customHeight="1"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AA226" s="47"/>
    </row>
    <row r="227" spans="1:27" ht="15" customHeight="1">
      <c r="A227" s="52"/>
      <c r="B227" s="52"/>
      <c r="C227" s="52"/>
      <c r="D227" s="52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AA227" s="47"/>
    </row>
    <row r="228" spans="1:27" ht="15" customHeight="1">
      <c r="A228" s="52"/>
      <c r="B228" s="52"/>
      <c r="C228" s="52"/>
      <c r="D228" s="52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AA228" s="47"/>
    </row>
    <row r="229" spans="1:27" ht="15" customHeight="1">
      <c r="A229" s="52"/>
      <c r="B229" s="52"/>
      <c r="C229" s="52"/>
      <c r="D229" s="52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AA229" s="47"/>
    </row>
    <row r="230" spans="1:27" ht="15" customHeight="1">
      <c r="A230" s="52"/>
      <c r="B230" s="52"/>
      <c r="C230" s="52"/>
      <c r="D230" s="52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AA230" s="47"/>
    </row>
    <row r="231" spans="1:27" ht="15" customHeight="1">
      <c r="A231" s="52"/>
      <c r="B231" s="52"/>
      <c r="C231" s="52"/>
      <c r="D231" s="52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AA231" s="47"/>
    </row>
    <row r="232" spans="1:27" ht="15" customHeight="1">
      <c r="A232" s="52"/>
      <c r="B232" s="52"/>
      <c r="C232" s="52"/>
      <c r="D232" s="52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AA232" s="47"/>
    </row>
    <row r="233" spans="1:27" ht="15" customHeight="1">
      <c r="A233" s="52"/>
      <c r="B233" s="52"/>
      <c r="C233" s="52"/>
      <c r="D233" s="52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AA233" s="47"/>
    </row>
    <row r="234" spans="1:27" ht="15" customHeight="1">
      <c r="A234" s="52"/>
      <c r="B234" s="52"/>
      <c r="C234" s="52"/>
      <c r="D234" s="52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AA234" s="47"/>
    </row>
    <row r="235" spans="1:27" ht="15" customHeight="1">
      <c r="A235" s="52"/>
      <c r="B235" s="52"/>
      <c r="C235" s="52"/>
      <c r="D235" s="52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AA235" s="47"/>
    </row>
    <row r="236" spans="1:27" ht="15" customHeight="1"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AA236" s="47"/>
    </row>
    <row r="237" spans="1:27" ht="15" customHeight="1">
      <c r="A237" s="52"/>
      <c r="B237" s="52"/>
      <c r="C237" s="52"/>
      <c r="D237" s="52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AA237" s="47"/>
    </row>
    <row r="238" spans="1:27" ht="15" customHeight="1">
      <c r="A238" s="52"/>
      <c r="B238" s="52"/>
      <c r="C238" s="52"/>
      <c r="D238" s="52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AA238" s="47"/>
    </row>
    <row r="239" spans="1:27" ht="15" customHeight="1">
      <c r="A239" s="52"/>
      <c r="B239" s="52"/>
      <c r="C239" s="52"/>
      <c r="D239" s="52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AA239" s="47"/>
    </row>
    <row r="240" spans="1:27" ht="15" customHeight="1">
      <c r="A240" s="52"/>
      <c r="B240" s="52"/>
      <c r="C240" s="52"/>
      <c r="D240" s="52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AA240" s="47"/>
    </row>
    <row r="241" spans="1:27" ht="15" customHeight="1">
      <c r="A241" s="52"/>
      <c r="B241" s="52"/>
      <c r="C241" s="52"/>
      <c r="D241" s="52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AA241" s="47"/>
    </row>
    <row r="242" spans="1:27" ht="15" customHeight="1">
      <c r="A242" s="52"/>
      <c r="B242" s="52"/>
      <c r="C242" s="52"/>
      <c r="D242" s="52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AA242" s="47"/>
    </row>
    <row r="243" spans="1:27" ht="15" customHeight="1">
      <c r="A243" s="52"/>
      <c r="B243" s="52"/>
      <c r="C243" s="52"/>
      <c r="D243" s="52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AA243" s="47"/>
    </row>
    <row r="244" spans="1:27" ht="15" customHeight="1">
      <c r="A244" s="52"/>
      <c r="B244" s="52"/>
      <c r="C244" s="52"/>
      <c r="D244" s="52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AA244" s="47"/>
    </row>
    <row r="245" spans="1:27" ht="15" customHeight="1">
      <c r="A245" s="52"/>
      <c r="B245" s="52"/>
      <c r="C245" s="52"/>
      <c r="D245" s="52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AA245" s="47"/>
    </row>
    <row r="246" spans="1:27" ht="15" customHeight="1"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AA246" s="47"/>
    </row>
    <row r="247" spans="1:27" ht="15" customHeight="1">
      <c r="A247" s="52"/>
      <c r="B247" s="52"/>
      <c r="C247" s="52"/>
      <c r="D247" s="52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AA247" s="47"/>
    </row>
    <row r="248" spans="1:27" ht="15" customHeight="1">
      <c r="A248" s="52"/>
      <c r="B248" s="52"/>
      <c r="C248" s="52"/>
      <c r="D248" s="52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AA248" s="47"/>
    </row>
    <row r="249" spans="1:27" ht="15" customHeight="1">
      <c r="A249" s="52"/>
      <c r="B249" s="52"/>
      <c r="C249" s="52"/>
      <c r="D249" s="52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AA249" s="47"/>
    </row>
    <row r="250" spans="1:27" ht="15" customHeight="1">
      <c r="A250" s="52"/>
      <c r="B250" s="52"/>
      <c r="C250" s="52"/>
      <c r="D250" s="52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AA250" s="47"/>
    </row>
    <row r="251" spans="1:27" ht="15" customHeight="1">
      <c r="A251" s="52"/>
      <c r="B251" s="52"/>
      <c r="C251" s="52"/>
      <c r="D251" s="52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AA251" s="47"/>
    </row>
    <row r="252" spans="1:27" ht="15" customHeight="1">
      <c r="A252" s="52"/>
      <c r="B252" s="52"/>
      <c r="C252" s="52"/>
      <c r="D252" s="52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AA252" s="47"/>
    </row>
    <row r="253" spans="1:27" ht="15" customHeight="1">
      <c r="A253" s="52"/>
      <c r="B253" s="52"/>
      <c r="C253" s="52"/>
      <c r="D253" s="52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AA253" s="47"/>
    </row>
    <row r="254" spans="1:27" ht="15" customHeight="1">
      <c r="A254" s="52"/>
      <c r="B254" s="52"/>
      <c r="C254" s="52"/>
      <c r="D254" s="52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AA254" s="47"/>
    </row>
    <row r="255" spans="1:27" ht="15" customHeight="1">
      <c r="A255" s="52"/>
      <c r="B255" s="52"/>
      <c r="C255" s="52"/>
      <c r="D255" s="52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AA255" s="47"/>
    </row>
    <row r="256" spans="1:27" ht="15" customHeight="1"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AA256" s="47"/>
    </row>
    <row r="257" spans="1:27" ht="15" customHeight="1">
      <c r="A257" s="52"/>
      <c r="B257" s="52"/>
      <c r="C257" s="52"/>
      <c r="D257" s="52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AA257" s="47"/>
    </row>
    <row r="258" spans="1:27" ht="15" customHeight="1">
      <c r="A258" s="52"/>
      <c r="B258" s="52"/>
      <c r="C258" s="52"/>
      <c r="D258" s="52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AA258" s="47"/>
    </row>
    <row r="259" spans="1:27" ht="15" customHeight="1">
      <c r="A259" s="52"/>
      <c r="B259" s="52"/>
      <c r="C259" s="52"/>
      <c r="D259" s="52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AA259" s="47"/>
    </row>
    <row r="260" spans="1:27" ht="15" customHeight="1">
      <c r="A260" s="52"/>
      <c r="B260" s="52"/>
      <c r="C260" s="52"/>
      <c r="D260" s="52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AA260" s="47"/>
    </row>
    <row r="261" spans="1:27" ht="15" customHeight="1">
      <c r="A261" s="52"/>
      <c r="B261" s="52"/>
      <c r="C261" s="52"/>
      <c r="D261" s="52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AA261" s="47"/>
    </row>
    <row r="262" spans="1:27" ht="15" customHeight="1">
      <c r="A262" s="52"/>
      <c r="B262" s="52"/>
      <c r="C262" s="52"/>
      <c r="D262" s="52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AA262" s="47"/>
    </row>
    <row r="263" spans="1:27" ht="15" customHeight="1">
      <c r="A263" s="52"/>
      <c r="B263" s="52"/>
      <c r="C263" s="52"/>
      <c r="D263" s="52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AA263" s="47"/>
    </row>
    <row r="264" spans="1:27" ht="15" customHeight="1">
      <c r="A264" s="52"/>
      <c r="B264" s="52"/>
      <c r="C264" s="52"/>
      <c r="D264" s="52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AA264" s="47"/>
    </row>
    <row r="265" spans="1:27" ht="15" customHeight="1">
      <c r="A265" s="52"/>
      <c r="B265" s="52"/>
      <c r="C265" s="52"/>
      <c r="D265" s="52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AA265" s="47"/>
    </row>
    <row r="266" spans="1:27" ht="15" customHeight="1" collapsed="1">
      <c r="A266" s="52"/>
      <c r="B266" s="52"/>
      <c r="C266" s="52"/>
      <c r="D266" s="52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AA266" s="47"/>
    </row>
    <row r="267" spans="1:27" ht="15" customHeight="1">
      <c r="A267" s="52"/>
      <c r="B267" s="52"/>
      <c r="C267" s="52"/>
      <c r="D267" s="52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AA267" s="47"/>
    </row>
    <row r="268" spans="1:27" ht="15" customHeight="1">
      <c r="A268" s="52"/>
      <c r="B268" s="52"/>
      <c r="C268" s="52"/>
      <c r="D268" s="52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AA268" s="47"/>
    </row>
    <row r="269" spans="1:27" ht="15" customHeight="1">
      <c r="A269" s="52"/>
      <c r="B269" s="52"/>
      <c r="C269" s="52"/>
      <c r="D269" s="52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AA269" s="47"/>
    </row>
    <row r="270" spans="1:27" ht="15" customHeight="1" collapsed="1">
      <c r="A270" s="52"/>
      <c r="B270" s="52"/>
      <c r="C270" s="52"/>
      <c r="D270" s="52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AA270" s="47"/>
    </row>
    <row r="271" spans="1:27" ht="15" customHeight="1">
      <c r="A271" s="52"/>
      <c r="B271" s="52"/>
      <c r="C271" s="52"/>
      <c r="D271" s="52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AA271" s="47"/>
    </row>
    <row r="272" spans="1:27" ht="15" customHeight="1">
      <c r="A272" s="52"/>
      <c r="B272" s="52"/>
      <c r="C272" s="52"/>
      <c r="D272" s="52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AA272" s="47"/>
    </row>
    <row r="273" spans="1:27" ht="15" customHeight="1">
      <c r="A273" s="52"/>
      <c r="B273" s="52"/>
      <c r="C273" s="52"/>
      <c r="D273" s="52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AA273" s="47"/>
    </row>
    <row r="274" spans="1:27" ht="15" customHeight="1" collapsed="1">
      <c r="A274" s="52"/>
      <c r="B274" s="52"/>
      <c r="C274" s="52"/>
      <c r="D274" s="52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AA274" s="47"/>
    </row>
    <row r="275" spans="1:27" ht="15" customHeight="1">
      <c r="A275" s="52"/>
      <c r="B275" s="52"/>
      <c r="C275" s="52"/>
      <c r="D275" s="52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AA275" s="47"/>
    </row>
    <row r="276" spans="1:27" ht="15" customHeight="1">
      <c r="A276" s="52"/>
      <c r="B276" s="52"/>
      <c r="C276" s="52"/>
      <c r="D276" s="52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AA276" s="47"/>
    </row>
    <row r="277" spans="1:27" ht="15" customHeight="1">
      <c r="A277" s="52"/>
      <c r="B277" s="52"/>
      <c r="C277" s="52"/>
      <c r="D277" s="52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AA277" s="47"/>
    </row>
    <row r="278" spans="1:27" ht="15" customHeight="1" collapsed="1">
      <c r="A278" s="52"/>
      <c r="B278" s="52"/>
      <c r="C278" s="52"/>
      <c r="D278" s="52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AA278" s="47"/>
    </row>
    <row r="279" spans="1:27" ht="15" customHeight="1">
      <c r="A279" s="52"/>
      <c r="B279" s="52"/>
      <c r="C279" s="52"/>
      <c r="D279" s="52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AA279" s="47"/>
    </row>
    <row r="280" spans="1:27" ht="15" customHeight="1">
      <c r="A280" s="52"/>
      <c r="B280" s="52"/>
      <c r="C280" s="52"/>
      <c r="D280" s="52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AA280" s="47"/>
    </row>
    <row r="281" spans="1:27" ht="15" customHeight="1">
      <c r="A281" s="52"/>
      <c r="B281" s="52"/>
      <c r="C281" s="52"/>
      <c r="D281" s="52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AA281" s="47"/>
    </row>
    <row r="282" spans="1:27" ht="15" customHeight="1">
      <c r="A282" s="52"/>
      <c r="B282" s="52"/>
      <c r="C282" s="52"/>
      <c r="D282" s="52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AA282" s="47"/>
    </row>
    <row r="283" spans="1:27" ht="15" customHeight="1">
      <c r="A283" s="52"/>
      <c r="B283" s="52"/>
      <c r="C283" s="52"/>
      <c r="D283" s="52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AA283" s="47"/>
    </row>
    <row r="284" spans="1:27" ht="15" customHeight="1">
      <c r="A284" s="52"/>
      <c r="B284" s="52"/>
      <c r="C284" s="52"/>
      <c r="D284" s="52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AA284" s="47"/>
    </row>
    <row r="285" spans="1:27" ht="15" customHeight="1">
      <c r="A285" s="52"/>
      <c r="B285" s="52"/>
      <c r="C285" s="52"/>
      <c r="D285" s="52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AA285" s="47"/>
    </row>
    <row r="286" spans="1:27" ht="15" customHeight="1">
      <c r="A286" s="52"/>
      <c r="B286" s="52"/>
      <c r="C286" s="52"/>
      <c r="D286" s="52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AA286" s="47"/>
    </row>
    <row r="287" spans="1:27" ht="15" customHeight="1">
      <c r="A287" s="52"/>
      <c r="B287" s="52"/>
      <c r="C287" s="52"/>
      <c r="D287" s="52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AA287" s="47"/>
    </row>
    <row r="288" spans="1:27" ht="15" customHeight="1">
      <c r="A288" s="52"/>
      <c r="B288" s="52"/>
      <c r="C288" s="52"/>
      <c r="D288" s="52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AA288" s="47"/>
    </row>
    <row r="289" spans="1:27" ht="15" customHeight="1">
      <c r="A289" s="52"/>
      <c r="B289" s="52"/>
      <c r="C289" s="52"/>
      <c r="D289" s="52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AA289" s="47"/>
    </row>
    <row r="290" spans="1:27" ht="15" customHeight="1">
      <c r="A290" s="52"/>
      <c r="B290" s="52"/>
      <c r="C290" s="52"/>
      <c r="D290" s="52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AA290" s="47"/>
    </row>
    <row r="291" spans="1:27" ht="15" customHeight="1">
      <c r="A291" s="52"/>
      <c r="B291" s="52"/>
      <c r="C291" s="52"/>
      <c r="D291" s="52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AA291" s="47"/>
    </row>
    <row r="292" spans="1:27" ht="15" customHeight="1">
      <c r="A292" s="52"/>
      <c r="B292" s="52"/>
      <c r="C292" s="52"/>
      <c r="D292" s="52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AA292" s="47"/>
    </row>
    <row r="293" spans="1:27"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AA293" s="47"/>
    </row>
    <row r="294" spans="1:27"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AA294" s="47"/>
    </row>
    <row r="295" spans="1:27"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AA295" s="47"/>
    </row>
    <row r="296" spans="1:27"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AA296" s="47"/>
    </row>
    <row r="297" spans="1:27"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AA297" s="47"/>
    </row>
    <row r="298" spans="1:27"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AA298" s="47"/>
    </row>
    <row r="299" spans="1:27"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AA299" s="47"/>
    </row>
    <row r="300" spans="1:27"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AA300" s="47"/>
    </row>
    <row r="301" spans="1:27"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AA301" s="47"/>
    </row>
    <row r="302" spans="1:27"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AA302" s="47"/>
    </row>
    <row r="303" spans="1:27"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AA303" s="47"/>
    </row>
    <row r="304" spans="1:27"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AA304" s="47"/>
    </row>
    <row r="305" spans="5:27"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AA305" s="47"/>
    </row>
    <row r="306" spans="5:27"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AA306" s="47"/>
    </row>
    <row r="307" spans="5:27"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AA307" s="47"/>
    </row>
    <row r="308" spans="5:27"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AA308" s="47"/>
    </row>
    <row r="309" spans="5:27"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AA309" s="47"/>
    </row>
    <row r="310" spans="5:27"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AA310" s="47"/>
    </row>
    <row r="311" spans="5:27"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AA311" s="47"/>
    </row>
    <row r="312" spans="5:27"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AA312" s="47"/>
    </row>
    <row r="313" spans="5:27"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AA313" s="47"/>
    </row>
    <row r="314" spans="5:27"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AA314" s="47"/>
    </row>
    <row r="315" spans="5:27"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AA315" s="47"/>
    </row>
    <row r="316" spans="5:27"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AA316" s="47"/>
    </row>
    <row r="317" spans="5:27"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AA317" s="47"/>
    </row>
    <row r="318" spans="5:27"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AA318" s="47"/>
    </row>
    <row r="319" spans="5:27"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AA319" s="47"/>
    </row>
    <row r="320" spans="5:27"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AA320" s="47"/>
    </row>
    <row r="321" spans="5:27"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AA321" s="47"/>
    </row>
    <row r="322" spans="5:27"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AA322" s="47"/>
    </row>
    <row r="323" spans="5:27"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AA323" s="47"/>
    </row>
    <row r="324" spans="5:27"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AA324" s="47"/>
    </row>
    <row r="325" spans="5:27"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AA325" s="47"/>
    </row>
    <row r="326" spans="5:27"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AA326" s="47"/>
    </row>
    <row r="327" spans="5:27"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AA327" s="47"/>
    </row>
    <row r="328" spans="5:27"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AA328" s="47"/>
    </row>
    <row r="329" spans="5:27"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AA329" s="47"/>
    </row>
    <row r="330" spans="5:27"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AA330" s="47"/>
    </row>
    <row r="331" spans="5:27"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AA331" s="47"/>
    </row>
    <row r="332" spans="5:27"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AA332" s="47"/>
    </row>
    <row r="333" spans="5:27"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AA333" s="47"/>
    </row>
    <row r="334" spans="5:27"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AA334" s="47"/>
    </row>
    <row r="335" spans="5:27"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AA335" s="47"/>
    </row>
    <row r="336" spans="5:27"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AA336" s="47"/>
    </row>
    <row r="337" spans="5:27"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AA337" s="47"/>
    </row>
    <row r="338" spans="5:27"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AA338" s="47"/>
    </row>
    <row r="339" spans="5:27"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AA339" s="47"/>
    </row>
    <row r="340" spans="5:27"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AA340" s="47"/>
    </row>
    <row r="341" spans="5:27"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AA341" s="47"/>
    </row>
    <row r="342" spans="5:27"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AA342" s="47"/>
    </row>
    <row r="343" spans="5:27"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AA343" s="47"/>
    </row>
    <row r="344" spans="5:27"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AA344" s="47"/>
    </row>
    <row r="345" spans="5:27"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AA345" s="47"/>
    </row>
    <row r="346" spans="5:27"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AA346" s="47"/>
    </row>
    <row r="347" spans="5:27"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AA347" s="47"/>
    </row>
    <row r="348" spans="5:27"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AA348" s="47"/>
    </row>
    <row r="349" spans="5:27"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AA349" s="47"/>
    </row>
    <row r="350" spans="5:27"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AA350" s="47"/>
    </row>
    <row r="351" spans="5:27"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AA351" s="47"/>
    </row>
    <row r="352" spans="5:27"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AA352" s="47"/>
    </row>
    <row r="353" spans="5:27"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AA353" s="47"/>
    </row>
    <row r="354" spans="5:27"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AA354" s="47"/>
    </row>
    <row r="355" spans="5:27"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AA355" s="47"/>
    </row>
    <row r="356" spans="5:27"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AA356" s="47"/>
    </row>
    <row r="357" spans="5:27"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AA357" s="47"/>
    </row>
    <row r="358" spans="5:27"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AA358" s="47"/>
    </row>
    <row r="359" spans="5:27"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AA359" s="47"/>
    </row>
    <row r="360" spans="5:27"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AA360" s="47"/>
    </row>
    <row r="361" spans="5:27"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AA361" s="47"/>
    </row>
    <row r="362" spans="5:27"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AA362" s="47"/>
    </row>
    <row r="363" spans="5:27"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AA363" s="47"/>
    </row>
    <row r="364" spans="5:27"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AA364" s="47"/>
    </row>
    <row r="365" spans="5:27"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AA365" s="47"/>
    </row>
    <row r="366" spans="5:27"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AA366" s="47"/>
    </row>
    <row r="367" spans="5:27"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AA367" s="47"/>
    </row>
    <row r="368" spans="5:27"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AA368" s="47"/>
    </row>
    <row r="369" spans="5:27"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AA369" s="47"/>
    </row>
    <row r="370" spans="5:27"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AA370" s="47"/>
    </row>
    <row r="371" spans="5:27"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AA371" s="47"/>
    </row>
    <row r="372" spans="5:27"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AA372" s="47"/>
    </row>
    <row r="373" spans="5:27"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AA373" s="47"/>
    </row>
    <row r="374" spans="5:27"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AA374" s="47"/>
    </row>
    <row r="375" spans="5:27"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AA375" s="47"/>
    </row>
    <row r="376" spans="5:27"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AA376" s="47"/>
    </row>
    <row r="377" spans="5:27"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AA377" s="47"/>
    </row>
    <row r="378" spans="5:27"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AA378" s="47"/>
    </row>
    <row r="379" spans="5:27"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AA379" s="47"/>
    </row>
    <row r="380" spans="5:27"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AA380" s="47"/>
    </row>
    <row r="381" spans="5:27"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AA381" s="47"/>
    </row>
    <row r="382" spans="5:27"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AA382" s="47"/>
    </row>
    <row r="383" spans="5:27"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AA383" s="47"/>
    </row>
    <row r="384" spans="5:27"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AA384" s="47"/>
    </row>
    <row r="385" spans="5:27"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AA385" s="47"/>
    </row>
    <row r="386" spans="5:27"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AA386" s="47"/>
    </row>
    <row r="387" spans="5:27"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AA387" s="47"/>
    </row>
    <row r="388" spans="5:27"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AA388" s="47"/>
    </row>
    <row r="389" spans="5:27"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AA389" s="47"/>
    </row>
    <row r="390" spans="5:27"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AA390" s="47"/>
    </row>
    <row r="391" spans="5:27"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AA391" s="47"/>
    </row>
    <row r="392" spans="5:27"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AA392" s="47"/>
    </row>
    <row r="393" spans="5:27"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AA393" s="47"/>
    </row>
    <row r="394" spans="5:27"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AA394" s="47"/>
    </row>
    <row r="395" spans="5:27"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AA395" s="47"/>
    </row>
    <row r="396" spans="5:27"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AA396" s="47"/>
    </row>
    <row r="397" spans="5:27"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AA397" s="47"/>
    </row>
    <row r="398" spans="5:27"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AA398" s="47"/>
    </row>
    <row r="399" spans="5:27"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AA399" s="47"/>
    </row>
    <row r="400" spans="5:27"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AA400" s="47"/>
    </row>
    <row r="401" spans="5:27"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AA401" s="47"/>
    </row>
    <row r="402" spans="5:27"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AA402" s="47"/>
    </row>
    <row r="403" spans="5:27"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AA403" s="47"/>
    </row>
    <row r="404" spans="5:27"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AA404" s="47"/>
    </row>
    <row r="405" spans="5:27"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AA405" s="47"/>
    </row>
    <row r="406" spans="5:27"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AA406" s="47"/>
    </row>
    <row r="407" spans="5:27"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AA407" s="47"/>
    </row>
    <row r="408" spans="5:27"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AA408" s="47"/>
    </row>
    <row r="409" spans="5:27"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AA409" s="47"/>
    </row>
    <row r="410" spans="5:27"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AA410" s="47"/>
    </row>
    <row r="411" spans="5:27"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AA411" s="47"/>
    </row>
    <row r="412" spans="5:27"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AA412" s="47"/>
    </row>
    <row r="413" spans="5:27"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AA413" s="47"/>
    </row>
    <row r="414" spans="5:27"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AA414" s="47"/>
    </row>
    <row r="415" spans="5:27"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AA415" s="47"/>
    </row>
    <row r="416" spans="5:27"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AA416" s="47"/>
    </row>
    <row r="417" spans="5:27"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AA417" s="47"/>
    </row>
  </sheetData>
  <sheetProtection password="FA9C" sheet="1" objects="1" scenarios="1" formatColumns="0" formatRows="0"/>
  <mergeCells count="300">
    <mergeCell ref="FO47:FO49"/>
    <mergeCell ref="S46:S65"/>
    <mergeCell ref="T46:T65"/>
    <mergeCell ref="U46:U65"/>
    <mergeCell ref="Y46:Y65"/>
    <mergeCell ref="FP47:FP49"/>
    <mergeCell ref="FQ47:FQ49"/>
    <mergeCell ref="FR47:FR49"/>
    <mergeCell ref="AA56:AA57"/>
    <mergeCell ref="AB56:AB57"/>
    <mergeCell ref="FO56:FO57"/>
    <mergeCell ref="FP56:FP57"/>
    <mergeCell ref="FQ56:FQ57"/>
    <mergeCell ref="FR56:FR57"/>
    <mergeCell ref="FN46:FN65"/>
    <mergeCell ref="G46:G65"/>
    <mergeCell ref="H46:H65"/>
    <mergeCell ref="I46:I65"/>
    <mergeCell ref="J46:J65"/>
    <mergeCell ref="AV10:AW10"/>
    <mergeCell ref="AD7:AD11"/>
    <mergeCell ref="I10:O10"/>
    <mergeCell ref="T39:T43"/>
    <mergeCell ref="O39:O43"/>
    <mergeCell ref="J39:J43"/>
    <mergeCell ref="O46:O65"/>
    <mergeCell ref="P46:P65"/>
    <mergeCell ref="Q46:Q65"/>
    <mergeCell ref="R46:R65"/>
    <mergeCell ref="K46:K65"/>
    <mergeCell ref="L46:L65"/>
    <mergeCell ref="M46:M65"/>
    <mergeCell ref="N46:N65"/>
    <mergeCell ref="AA47:AA49"/>
    <mergeCell ref="AB47:AB49"/>
    <mergeCell ref="AC7:AC11"/>
    <mergeCell ref="AB21:AB22"/>
    <mergeCell ref="AB12:AB14"/>
    <mergeCell ref="AB7:AB11"/>
    <mergeCell ref="BE10:BE11"/>
    <mergeCell ref="AI40:AJ42"/>
    <mergeCell ref="AE39:BL39"/>
    <mergeCell ref="BE42:BE43"/>
    <mergeCell ref="AZ42:AZ43"/>
    <mergeCell ref="AU42:AU43"/>
    <mergeCell ref="BH8:BL8"/>
    <mergeCell ref="AG40:AH42"/>
    <mergeCell ref="AR42:AR43"/>
    <mergeCell ref="AS40:BG40"/>
    <mergeCell ref="AN40:AO42"/>
    <mergeCell ref="AP40:AR41"/>
    <mergeCell ref="BA42:BB42"/>
    <mergeCell ref="BH40:BL40"/>
    <mergeCell ref="AL8:AL11"/>
    <mergeCell ref="AX42:AY42"/>
    <mergeCell ref="AX41:BB41"/>
    <mergeCell ref="BC42:BD42"/>
    <mergeCell ref="BC41:BG41"/>
    <mergeCell ref="BJ41:BJ43"/>
    <mergeCell ref="BF42:BG42"/>
    <mergeCell ref="AP42:AQ42"/>
    <mergeCell ref="AS41:AW41"/>
    <mergeCell ref="AX10:AY10"/>
    <mergeCell ref="AU10:AU11"/>
    <mergeCell ref="AS10:AT10"/>
    <mergeCell ref="AR10:AR11"/>
    <mergeCell ref="AV42:AW42"/>
    <mergeCell ref="J66:N66"/>
    <mergeCell ref="AC39:AC43"/>
    <mergeCell ref="P39:P43"/>
    <mergeCell ref="K39:K43"/>
    <mergeCell ref="AB39:AB43"/>
    <mergeCell ref="AA39:AA43"/>
    <mergeCell ref="U39:U43"/>
    <mergeCell ref="AE7:BL7"/>
    <mergeCell ref="AP8:AR9"/>
    <mergeCell ref="AP10:AQ10"/>
    <mergeCell ref="AE8:AF10"/>
    <mergeCell ref="BK9:BL10"/>
    <mergeCell ref="BC10:BD10"/>
    <mergeCell ref="AZ10:AZ11"/>
    <mergeCell ref="AK8:AK11"/>
    <mergeCell ref="AG8:AH10"/>
    <mergeCell ref="AS9:AW9"/>
    <mergeCell ref="AI8:AJ10"/>
    <mergeCell ref="AN8:AO10"/>
    <mergeCell ref="AM8:AM11"/>
    <mergeCell ref="BH9:BI10"/>
    <mergeCell ref="BJ9:BJ11"/>
    <mergeCell ref="BA10:BB10"/>
    <mergeCell ref="BF10:BG10"/>
    <mergeCell ref="BM7:CT7"/>
    <mergeCell ref="AS8:BG8"/>
    <mergeCell ref="BU8:BU11"/>
    <mergeCell ref="BV8:BW10"/>
    <mergeCell ref="BM8:BN10"/>
    <mergeCell ref="BZ10:BZ11"/>
    <mergeCell ref="CC10:CC11"/>
    <mergeCell ref="CA8:CO8"/>
    <mergeCell ref="CF10:CG10"/>
    <mergeCell ref="CS9:CT10"/>
    <mergeCell ref="CA9:CE9"/>
    <mergeCell ref="BX8:BZ9"/>
    <mergeCell ref="BX10:BY10"/>
    <mergeCell ref="CD10:CE10"/>
    <mergeCell ref="CA10:CB10"/>
    <mergeCell ref="BC9:BG9"/>
    <mergeCell ref="AX9:BB9"/>
    <mergeCell ref="G39:G43"/>
    <mergeCell ref="Z39:Z43"/>
    <mergeCell ref="Y39:Y43"/>
    <mergeCell ref="M39:M43"/>
    <mergeCell ref="Q39:Q43"/>
    <mergeCell ref="S39:S43"/>
    <mergeCell ref="L39:L43"/>
    <mergeCell ref="R39:R43"/>
    <mergeCell ref="N39:N43"/>
    <mergeCell ref="I39:I43"/>
    <mergeCell ref="FF40:FJ40"/>
    <mergeCell ref="ES42:ES43"/>
    <mergeCell ref="FA41:FE41"/>
    <mergeCell ref="EQ42:ER42"/>
    <mergeCell ref="EX42:EX43"/>
    <mergeCell ref="ET42:EU42"/>
    <mergeCell ref="FF41:FG42"/>
    <mergeCell ref="EV42:EW42"/>
    <mergeCell ref="AD39:AD43"/>
    <mergeCell ref="AK40:AK43"/>
    <mergeCell ref="FC42:FC43"/>
    <mergeCell ref="DF42:DG42"/>
    <mergeCell ref="EG40:EH42"/>
    <mergeCell ref="DK42:DK43"/>
    <mergeCell ref="DC40:DC43"/>
    <mergeCell ref="DN42:DO42"/>
    <mergeCell ref="AE40:AF42"/>
    <mergeCell ref="DI41:DM41"/>
    <mergeCell ref="AL40:AL43"/>
    <mergeCell ref="AM40:AM43"/>
    <mergeCell ref="AS42:AT42"/>
    <mergeCell ref="BH41:BI42"/>
    <mergeCell ref="BK41:BL42"/>
    <mergeCell ref="CU40:CV42"/>
    <mergeCell ref="EC39:FJ39"/>
    <mergeCell ref="FI41:FJ42"/>
    <mergeCell ref="EY42:EZ42"/>
    <mergeCell ref="FH41:FH43"/>
    <mergeCell ref="DI42:DJ42"/>
    <mergeCell ref="FT12:FT14"/>
    <mergeCell ref="FN39:FN43"/>
    <mergeCell ref="FM39:FM43"/>
    <mergeCell ref="FO42:FO43"/>
    <mergeCell ref="FP39:FP41"/>
    <mergeCell ref="FO39:FO41"/>
    <mergeCell ref="FQ42:FQ43"/>
    <mergeCell ref="FQ39:FQ41"/>
    <mergeCell ref="FR39:FR41"/>
    <mergeCell ref="FP42:FP43"/>
    <mergeCell ref="FT20:FT21"/>
    <mergeCell ref="EI40:EI43"/>
    <mergeCell ref="EE40:EF42"/>
    <mergeCell ref="DL42:DM42"/>
    <mergeCell ref="DN41:DR41"/>
    <mergeCell ref="DS41:DW41"/>
    <mergeCell ref="DQ42:DR42"/>
    <mergeCell ref="FR42:FR43"/>
    <mergeCell ref="FK39:FK43"/>
    <mergeCell ref="FL39:FL43"/>
    <mergeCell ref="EN40:EP41"/>
    <mergeCell ref="FA42:FB42"/>
    <mergeCell ref="EP42:EP43"/>
    <mergeCell ref="FD42:FE42"/>
    <mergeCell ref="EQ41:EU41"/>
    <mergeCell ref="EQ40:FE40"/>
    <mergeCell ref="DI40:DW40"/>
    <mergeCell ref="DZ41:DZ43"/>
    <mergeCell ref="DU42:DU43"/>
    <mergeCell ref="DS42:DT42"/>
    <mergeCell ref="EG8:EH10"/>
    <mergeCell ref="CY40:CZ42"/>
    <mergeCell ref="DN10:DO10"/>
    <mergeCell ref="DU10:DU11"/>
    <mergeCell ref="DS10:DT10"/>
    <mergeCell ref="DV10:DW10"/>
    <mergeCell ref="DH10:DH11"/>
    <mergeCell ref="DP10:DP11"/>
    <mergeCell ref="DF10:DG10"/>
    <mergeCell ref="DK10:DK11"/>
    <mergeCell ref="DI10:DJ10"/>
    <mergeCell ref="FV7:FX8"/>
    <mergeCell ref="FT7:FT11"/>
    <mergeCell ref="FU7:FU11"/>
    <mergeCell ref="FW10:FW11"/>
    <mergeCell ref="FV10:FV11"/>
    <mergeCell ref="FX10:FX11"/>
    <mergeCell ref="FC10:FC11"/>
    <mergeCell ref="DX9:DY10"/>
    <mergeCell ref="EA9:EB10"/>
    <mergeCell ref="FF8:FJ8"/>
    <mergeCell ref="ET10:EU10"/>
    <mergeCell ref="FD10:FE10"/>
    <mergeCell ref="EQ10:ER10"/>
    <mergeCell ref="FA10:FB10"/>
    <mergeCell ref="FA9:FE9"/>
    <mergeCell ref="EX10:EX11"/>
    <mergeCell ref="EE8:EF10"/>
    <mergeCell ref="EY10:EZ10"/>
    <mergeCell ref="DX8:EB8"/>
    <mergeCell ref="EK8:EK11"/>
    <mergeCell ref="CU7:EB7"/>
    <mergeCell ref="EI8:EI11"/>
    <mergeCell ref="EC7:FJ7"/>
    <mergeCell ref="DL10:DM10"/>
    <mergeCell ref="EP10:EP11"/>
    <mergeCell ref="FH9:FH11"/>
    <mergeCell ref="FF9:FG10"/>
    <mergeCell ref="EV10:EW10"/>
    <mergeCell ref="DQ10:DR10"/>
    <mergeCell ref="DI8:DW8"/>
    <mergeCell ref="DI9:DM9"/>
    <mergeCell ref="EQ8:FE8"/>
    <mergeCell ref="EV9:EZ9"/>
    <mergeCell ref="FI9:FJ10"/>
    <mergeCell ref="BO8:BP10"/>
    <mergeCell ref="BS8:BS11"/>
    <mergeCell ref="BM39:CT39"/>
    <mergeCell ref="BQ8:BR10"/>
    <mergeCell ref="BT8:BT11"/>
    <mergeCell ref="EL40:EM42"/>
    <mergeCell ref="EV41:EZ41"/>
    <mergeCell ref="DX41:DY42"/>
    <mergeCell ref="EL8:EM10"/>
    <mergeCell ref="EC8:ED10"/>
    <mergeCell ref="EN8:EP9"/>
    <mergeCell ref="EJ8:EJ11"/>
    <mergeCell ref="EQ9:EU9"/>
    <mergeCell ref="DZ9:DZ11"/>
    <mergeCell ref="EN10:EO10"/>
    <mergeCell ref="ES10:ES11"/>
    <mergeCell ref="EC40:ED42"/>
    <mergeCell ref="DH42:DH43"/>
    <mergeCell ref="DD40:DE42"/>
    <mergeCell ref="EJ40:EJ43"/>
    <mergeCell ref="EK40:EK43"/>
    <mergeCell ref="EA41:EB42"/>
    <mergeCell ref="EN42:EO42"/>
    <mergeCell ref="DV42:DW42"/>
    <mergeCell ref="BM40:BN42"/>
    <mergeCell ref="BO40:BP42"/>
    <mergeCell ref="BV40:BW42"/>
    <mergeCell ref="BT40:BT43"/>
    <mergeCell ref="BU40:BU43"/>
    <mergeCell ref="BQ40:BR42"/>
    <mergeCell ref="BX40:BZ41"/>
    <mergeCell ref="BS40:BS43"/>
    <mergeCell ref="BZ42:BZ43"/>
    <mergeCell ref="BX42:BY42"/>
    <mergeCell ref="CK41:CO41"/>
    <mergeCell ref="CD42:CE42"/>
    <mergeCell ref="CH42:CH43"/>
    <mergeCell ref="CF41:CJ41"/>
    <mergeCell ref="CF42:CG42"/>
    <mergeCell ref="CA41:CE41"/>
    <mergeCell ref="CI10:CJ10"/>
    <mergeCell ref="CF9:CJ9"/>
    <mergeCell ref="CH10:CH11"/>
    <mergeCell ref="CA42:CB42"/>
    <mergeCell ref="DB40:DB43"/>
    <mergeCell ref="DF40:DH41"/>
    <mergeCell ref="CK42:CL42"/>
    <mergeCell ref="CW8:CX10"/>
    <mergeCell ref="CY8:CZ10"/>
    <mergeCell ref="DF8:DH9"/>
    <mergeCell ref="CU8:CV10"/>
    <mergeCell ref="DA40:DA43"/>
    <mergeCell ref="CP9:CQ10"/>
    <mergeCell ref="CK9:CO9"/>
    <mergeCell ref="CW40:CX42"/>
    <mergeCell ref="CN42:CO42"/>
    <mergeCell ref="CS41:CT42"/>
    <mergeCell ref="DC8:DC11"/>
    <mergeCell ref="CP40:CT40"/>
    <mergeCell ref="CR41:CR43"/>
    <mergeCell ref="CP41:CQ42"/>
    <mergeCell ref="CU39:EB39"/>
    <mergeCell ref="DX40:EB40"/>
    <mergeCell ref="DP42:DP43"/>
    <mergeCell ref="CM42:CM43"/>
    <mergeCell ref="CA40:CO40"/>
    <mergeCell ref="CI42:CJ42"/>
    <mergeCell ref="CC42:CC43"/>
    <mergeCell ref="DS9:DW9"/>
    <mergeCell ref="CN10:CO10"/>
    <mergeCell ref="CK10:CL10"/>
    <mergeCell ref="DA8:DA11"/>
    <mergeCell ref="DN9:DR9"/>
    <mergeCell ref="CP8:CT8"/>
    <mergeCell ref="DD8:DE10"/>
    <mergeCell ref="CM10:CM11"/>
    <mergeCell ref="CR9:CR11"/>
    <mergeCell ref="DB8:DB11"/>
  </mergeCells>
  <phoneticPr fontId="0" type="noConversion"/>
  <dataValidations count="3">
    <dataValidation type="list" showInputMessage="1" showErrorMessage="1" errorTitle="Внимание" error="Пожалуйста, выберите значение из списка" sqref="P46:P65">
      <formula1>DIFF</formula1>
    </dataValidation>
    <dataValidation type="list" allowBlank="1" showInputMessage="1" showErrorMessage="1" errorTitle="Внимание" error="Пожалуйста, выберите значение из списка" sqref="J46:J65">
      <formula1>MR_LIST</formula1>
    </dataValidation>
    <dataValidation type="list" allowBlank="1" showInputMessage="1" showErrorMessage="1" errorTitle="Внимание" error="Выберите значение из списка!" sqref="T46:T65">
      <formula1>YES_NO</formula1>
    </dataValidation>
  </dataValidations>
  <hyperlinks>
    <hyperlink ref="J66" location="'Т'!A1" tooltip="Добавить организацию" display="Добавить организацию"/>
    <hyperlink ref="O37" location="'Т'!A1" tooltip="Реквизиты" display="Скрыть реквизиты"/>
    <hyperlink ref="FF37" location="'Т'!A1" tooltip="Отобразить / Скрыть блок" display="+"/>
    <hyperlink ref="EN37" location="'Т'!A1" tooltip="Отобразить / Скрыть блок" display="+"/>
    <hyperlink ref="EC36" location="'Т'!A1" tooltip="Отобразить / Скрыть блок" display="+"/>
    <hyperlink ref="EQ37" location="'Т'!A1" tooltip="Отобразить / Скрыть блок" display="+"/>
    <hyperlink ref="BH37" location="'Т'!A1" tooltip="Отобразить / Скрыть блок" display="+"/>
    <hyperlink ref="CP37" location="'Т'!A1" tooltip="Отобразить / Скрыть блок" display="+"/>
    <hyperlink ref="DX37" location="'Т'!A1" tooltip="Отобразить / Скрыть блок" display="+"/>
    <hyperlink ref="AP37" location="'Т'!A1" tooltip="Отобразить / Скрыть блок" display="+"/>
    <hyperlink ref="BX37" location="'Т'!A1" tooltip="Отобразить / Скрыть блок" display="+"/>
    <hyperlink ref="DF37" location="'Т'!A1" tooltip="Отобразить / Скрыть блок" display="+"/>
    <hyperlink ref="AE36" location="'Т'!A1" tooltip="Отобразить / Скрыть блок" display="+"/>
    <hyperlink ref="BM36" location="'Т'!A1" tooltip="Отобразить / Скрыть блок" display="+"/>
    <hyperlink ref="CU36" location="'Т'!A1" tooltip="Отобразить / Скрыть блок" display="+"/>
    <hyperlink ref="AS37" location="'Т'!A1" tooltip="Отобразить / Скрыть блок" display="+"/>
    <hyperlink ref="CA37" location="'Т'!A1" tooltip="Отобразить / Скрыть блок" display="+"/>
    <hyperlink ref="DI37" location="'Т'!A1" tooltip="Отобразить / Скрыть блок" display="+"/>
    <hyperlink ref="H46" location="'Т'!A1" tooltip="Удалить" display="О"/>
  </hyperlinks>
  <pageMargins left="0.74803149606299213" right="0.74803149606299213" top="0.15748031496062992" bottom="0.23622047244094491" header="0.19685039370078741" footer="0.23622047244094491"/>
  <pageSetup paperSize="9" scale="60" orientation="portrait" r:id="rId1"/>
  <headerFooter alignWithMargins="0"/>
  <drawing r:id="rId2"/>
  <legacyDrawing r:id="rId3"/>
  <controls>
    <control shapeId="22738" r:id="rId4" name="cmdStub"/>
    <control shapeId="102657" r:id="rId5" name="tglVAT"/>
    <control shapeId="102659" r:id="rId6" name="tglNoVAT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141</vt:i4>
      </vt:variant>
    </vt:vector>
  </HeadingPairs>
  <TitlesOfParts>
    <vt:vector size="144" baseType="lpstr">
      <vt:lpstr>Инструкция</vt:lpstr>
      <vt:lpstr>Т</vt:lpstr>
      <vt:lpstr>Проверка</vt:lpstr>
      <vt:lpstr>ADD_FUEL_HL_COLUMN_MARKER</vt:lpstr>
      <vt:lpstr>ADD_ORG_AUTO</vt:lpstr>
      <vt:lpstr>ADD_ORG_FROM_PLAN1X</vt:lpstr>
      <vt:lpstr>ADD_ORG_FROM_REESTR</vt:lpstr>
      <vt:lpstr>ADD_ORG_HL_MARKER</vt:lpstr>
      <vt:lpstr>ADD_ORG_LOST_INCOME</vt:lpstr>
      <vt:lpstr>ALL_FILES</vt:lpstr>
      <vt:lpstr>chkGetUpdatesValue</vt:lpstr>
      <vt:lpstr>chkNoUpdatesValue</vt:lpstr>
      <vt:lpstr>code</vt:lpstr>
      <vt:lpstr>CURRENT_PRD</vt:lpstr>
      <vt:lpstr>DELETE_FUEL_HL_COLUMN_MARKER</vt:lpstr>
      <vt:lpstr>DELETE_ORG_HL_COLUMN_MARKER</vt:lpstr>
      <vt:lpstr>DIFF</vt:lpstr>
      <vt:lpstr>DIFF_COLUMN_MARKER</vt:lpstr>
      <vt:lpstr>DPR_COLUMN_MARKER</vt:lpstr>
      <vt:lpstr>EXCLUDE_ORG_REASON_HL_COLUMN_MARKER</vt:lpstr>
      <vt:lpstr>FIL_COLUMN_MARKER</vt:lpstr>
      <vt:lpstr>FirstLine</vt:lpstr>
      <vt:lpstr>FOLDER_NAME</vt:lpstr>
      <vt:lpstr>FUEL_CALC_AREA</vt:lpstr>
      <vt:lpstr>FUEL_SHOW_ALL_FUELS</vt:lpstr>
      <vt:lpstr>FUEL_WORKING_AREA</vt:lpstr>
      <vt:lpstr>GEO_BASE_REGION</vt:lpstr>
      <vt:lpstr>god</vt:lpstr>
      <vt:lpstr>INN_COLUMN_MARKER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IpGeoBaseRegions</vt:lpstr>
      <vt:lpstr>KPP_COLUMN_MARKER</vt:lpstr>
      <vt:lpstr>KU11_AUTHORISATION_RANGE</vt:lpstr>
      <vt:lpstr>LastUpdateDate_MO</vt:lpstr>
      <vt:lpstr>LastUpdateDate_PLAN_PREV</vt:lpstr>
      <vt:lpstr>LastUpdateDate_PLAN201X</vt:lpstr>
      <vt:lpstr>LastUpdateDate_ReestrOrg</vt:lpstr>
      <vt:lpstr>LastUpdateDate_W1X_TOPL</vt:lpstr>
      <vt:lpstr>LI_ADD_FUEL_HL_COLUMN_MARKER</vt:lpstr>
      <vt:lpstr>LI_ADD_ORG_HL_MARKER</vt:lpstr>
      <vt:lpstr>LI_DELETE_FUEL_HL_COLUMN_MARKER</vt:lpstr>
      <vt:lpstr>LI_DELETE_ORG_HL_COLUMN_MARKER</vt:lpstr>
      <vt:lpstr>LI_EXCLUDE_ORG_REASON_HL_COLUMN_MARKER</vt:lpstr>
      <vt:lpstr>LI_FIL_COLUMN_MARKER</vt:lpstr>
      <vt:lpstr>LI_FUEL_SHOW_ALL_FUELS</vt:lpstr>
      <vt:lpstr>LI_INN_COLUMN_MARKER</vt:lpstr>
      <vt:lpstr>LI_KPP_COLUMN_MARKER</vt:lpstr>
      <vt:lpstr>LI_NUM_FUEL_HL_COLUMN_MARKER</vt:lpstr>
      <vt:lpstr>LI_NUM_ORG_HL_COLUMN_MARKER</vt:lpstr>
      <vt:lpstr>LI_ORG_COLUMN_MARKER</vt:lpstr>
      <vt:lpstr>LI_PLAN1X_NUM_COLUMN_MARKER</vt:lpstr>
      <vt:lpstr>LI_TECH_NUM_COLUMN_MARKER</vt:lpstr>
      <vt:lpstr>LI_TECH_STATUS_COLUMN_MARKER</vt:lpstr>
      <vt:lpstr>LI_TECH_USAGE_COLUMN_MARKER</vt:lpstr>
      <vt:lpstr>LI_VDET_COLUMN_MARKER</vt:lpstr>
      <vt:lpstr>LIST_MR_MO_OKTMO</vt:lpstr>
      <vt:lpstr>LIST_ORG_WARM</vt:lpstr>
      <vt:lpstr>LOAD_CONTACTS</vt:lpstr>
      <vt:lpstr>LOGIN</vt:lpstr>
      <vt:lpstr>MO_BINDING</vt:lpstr>
      <vt:lpstr>MO_COLUMN_MARKER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MO_LIST_4</vt:lpstr>
      <vt:lpstr>MO_LIST_5</vt:lpstr>
      <vt:lpstr>MO_LIST_6</vt:lpstr>
      <vt:lpstr>MO_LIST_7</vt:lpstr>
      <vt:lpstr>MO_LIST_8</vt:lpstr>
      <vt:lpstr>MO_LIST_9</vt:lpstr>
      <vt:lpstr>MR_COLUMN_MARKER</vt:lpstr>
      <vt:lpstr>MR_LIST</vt:lpstr>
      <vt:lpstr>NDS_COLUMN_MARKER</vt:lpstr>
      <vt:lpstr>NO_MO_BINDING</vt:lpstr>
      <vt:lpstr>NTKU11_AUTHORISATION_RANGE</vt:lpstr>
      <vt:lpstr>NTKU1X_AUTHORISATION_RANGE</vt:lpstr>
      <vt:lpstr>NUM_FUEL_HL_COLUMN_MARKER</vt:lpstr>
      <vt:lpstr>NUM_ORG_HL_COLUMN_MARKER</vt:lpstr>
      <vt:lpstr>OKTMO_COLUMN_MARKER</vt:lpstr>
      <vt:lpstr>ORDER_BY</vt:lpstr>
      <vt:lpstr>ORG_COLUMN_MARKER</vt:lpstr>
      <vt:lpstr>ORG_POWER</vt:lpstr>
      <vt:lpstr>PASSWORD</vt:lpstr>
      <vt:lpstr>PLAN1X_AUTHORISATION_RANGE</vt:lpstr>
      <vt:lpstr>PLAN1X_LIST_ORG_TOTAL_RANGE</vt:lpstr>
      <vt:lpstr>PLAN1X_NUM_COLUMN_MARKER</vt:lpstr>
      <vt:lpstr>PR_FIL_COLUMN_MARKER</vt:lpstr>
      <vt:lpstr>REGION</vt:lpstr>
      <vt:lpstr>region_name</vt:lpstr>
      <vt:lpstr>SAX_PARSER_FEATURE</vt:lpstr>
      <vt:lpstr>SINGLE_FILE_NAME</vt:lpstr>
      <vt:lpstr>TECH_NDS_COLUMN_MARKER</vt:lpstr>
      <vt:lpstr>TECH_NUM_COLUMN_MARKER</vt:lpstr>
      <vt:lpstr>TECH_STATUS_COLUMN_MARKER</vt:lpstr>
      <vt:lpstr>TECH_USAGE_COLUMN_MARKER</vt:lpstr>
      <vt:lpstr>TOPL_TEMPLATE_MODE</vt:lpstr>
      <vt:lpstr>UpdStatus</vt:lpstr>
      <vt:lpstr>VDET_COLUMN_MARKER</vt:lpstr>
      <vt:lpstr>W1X_P_TOPL_DATA_REGION_RANGE</vt:lpstr>
      <vt:lpstr>W1X_TOPL_COMS_DATA_REGION_RANGE</vt:lpstr>
      <vt:lpstr>W1X_TOPL_FUEL_DATA_REGION_RANGE</vt:lpstr>
      <vt:lpstr>W1X_TOPL_ORG_DATA_REGION_RANGE</vt:lpstr>
      <vt:lpstr>XML_AUTHORISATION_TAG_NAMES</vt:lpstr>
      <vt:lpstr>XML_MR_MO_OKTMO_LIST_TAG_NAMES</vt:lpstr>
      <vt:lpstr>XML_ORG_LIST_TAG_NAMES</vt:lpstr>
      <vt:lpstr>XML_PLAN1X_LIST_ORG_TOTAL_COSTS_TAG_NAMES</vt:lpstr>
      <vt:lpstr>XML_PLAN1X_LIST_ORG_TOTAL_TAG_NAMES</vt:lpstr>
      <vt:lpstr>XML_PLAN201X_LIST_TAG_NAMES</vt:lpstr>
      <vt:lpstr>XML_W1X_TOPL_COMS_TAG_NAMES</vt:lpstr>
      <vt:lpstr>XML_W1X_TOPL_FUEL_TAG_NAMES</vt:lpstr>
      <vt:lpstr>XML_W1X_TOPL_ORG_TAG_NAMES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фактически сложившихся ценах и объёмах потребления топлива по итогам 12 месяцев 2014 года</dc:title>
  <dc:subject>Информация о фактически сложившихся ценах и объёмах потребления топлива по итогам 12 месяцев 2014 года</dc:subject>
  <dc:creator>FST</dc:creator>
  <dc:description/>
  <cp:lastModifiedBy>Admin</cp:lastModifiedBy>
  <cp:lastPrinted>2006-04-27T12:05:06Z</cp:lastPrinted>
  <dcterms:created xsi:type="dcterms:W3CDTF">2004-05-21T07:18:45Z</dcterms:created>
  <dcterms:modified xsi:type="dcterms:W3CDTF">2015-03-05T06:55:15Z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WARM.TOPL.Q4.2014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Period">
    <vt:lpwstr>2007</vt:lpwstr>
  </property>
  <property fmtid="{D5CDD505-2E9C-101B-9397-08002B2CF9AE}" pid="13" name="CurrentVersion">
    <vt:lpwstr>1.0</vt:lpwstr>
  </property>
  <property fmtid="{D5CDD505-2E9C-101B-9397-08002B2CF9AE}" pid="14" name="XMLTempFilePath">
    <vt:lpwstr/>
  </property>
  <property fmtid="{D5CDD505-2E9C-101B-9397-08002B2CF9AE}" pid="15" name="TemplateOperationMode">
    <vt:i4>3</vt:i4>
  </property>
  <property fmtid="{D5CDD505-2E9C-101B-9397-08002B2CF9AE}" pid="16" name="entityid">
    <vt:lpwstr/>
  </property>
  <property fmtid="{D5CDD505-2E9C-101B-9397-08002B2CF9AE}" pid="17" name="Periodicity">
    <vt:lpwstr>REGU</vt:lpwstr>
  </property>
  <property fmtid="{D5CDD505-2E9C-101B-9397-08002B2CF9AE}" pid="18" name="TypePlanning">
    <vt:lpwstr>FACT</vt:lpwstr>
  </property>
</Properties>
</file>